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ávazné ukazatele\Záv. ukazatele 2026\"/>
    </mc:Choice>
  </mc:AlternateContent>
  <xr:revisionPtr revIDLastSave="0" documentId="13_ncr:1_{DFF1BD21-3915-4944-AC30-9C20739F62CA}" xr6:coauthVersionLast="47" xr6:coauthVersionMax="47" xr10:uidLastSave="{00000000-0000-0000-0000-000000000000}"/>
  <workbookProtection workbookAlgorithmName="SHA-512" workbookHashValue="c8llFh7QWEBnbbW5PZ03Cl2Bd8G5u7NMXEMZoUqfHmOM7zX+Xj9TjwMBBmkX4lREt4jbvJvV85c5orkRETXU0Q==" workbookSaltValue="9Tx03fjNAU0qEhkaQiyRYQ==" workbookSpinCount="100000" lockStructure="1"/>
  <bookViews>
    <workbookView xWindow="-109" yWindow="-109" windowWidth="26301" windowHeight="14169" xr2:uid="{5F939F0E-B7C8-4EE0-A5CF-22394BFDF32C}"/>
  </bookViews>
  <sheets>
    <sheet name="ZU rozp.r.2026 a RO RM 1-2" sheetId="1" r:id="rId1"/>
  </sheets>
  <definedNames>
    <definedName name="__DdeLink__9289_5144441" localSheetId="0">'ZU rozp.r.2026 a RO RM 1-2'!#REF!</definedName>
    <definedName name="_xlnm.Print_Titles" localSheetId="0">'ZU rozp.r.2026 a RO RM 1-2'!$1:$2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2" i="1" l="1"/>
  <c r="J238" i="1"/>
  <c r="J239" i="1"/>
  <c r="J43" i="1"/>
  <c r="I299" i="1"/>
  <c r="K298" i="1"/>
  <c r="J142" i="1"/>
  <c r="I142" i="1"/>
  <c r="K26" i="1"/>
  <c r="J24" i="1"/>
  <c r="K5" i="1"/>
  <c r="J20" i="1"/>
  <c r="I20" i="1"/>
  <c r="K12" i="1"/>
  <c r="J9" i="1"/>
  <c r="I9" i="1"/>
  <c r="K6" i="1"/>
  <c r="K7" i="1"/>
  <c r="K8" i="1"/>
  <c r="K13" i="1"/>
  <c r="K14" i="1"/>
  <c r="K15" i="1"/>
  <c r="K16" i="1"/>
  <c r="K17" i="1"/>
  <c r="K18" i="1"/>
  <c r="K19" i="1"/>
  <c r="K275" i="1"/>
  <c r="K271" i="1"/>
  <c r="K182" i="1"/>
  <c r="K181" i="1"/>
  <c r="K180" i="1"/>
  <c r="K179" i="1"/>
  <c r="K127" i="1"/>
  <c r="K120" i="1"/>
  <c r="K114" i="1"/>
  <c r="K103" i="1"/>
  <c r="K104" i="1"/>
  <c r="K98" i="1"/>
  <c r="K96" i="1"/>
  <c r="I269" i="1"/>
  <c r="K9" i="1" l="1"/>
  <c r="I49" i="1"/>
  <c r="I298" i="1"/>
  <c r="I283" i="1" l="1"/>
  <c r="I280" i="1"/>
  <c r="I277" i="1"/>
  <c r="I262" i="1"/>
  <c r="I258" i="1"/>
  <c r="I252" i="1"/>
  <c r="I248" i="1"/>
  <c r="I244" i="1"/>
  <c r="I240" i="1"/>
  <c r="I236" i="1"/>
  <c r="I225" i="1"/>
  <c r="I220" i="1"/>
  <c r="I217" i="1"/>
  <c r="I210" i="1"/>
  <c r="I206" i="1"/>
  <c r="I202" i="1"/>
  <c r="I187" i="1"/>
  <c r="I184" i="1"/>
  <c r="I151" i="1"/>
  <c r="I130" i="1"/>
  <c r="I44" i="1"/>
  <c r="I40" i="1"/>
  <c r="I32" i="1"/>
  <c r="I27" i="1"/>
  <c r="I24" i="1"/>
  <c r="K24" i="1" s="1"/>
  <c r="H264" i="1"/>
  <c r="H186" i="1"/>
  <c r="H184" i="1" s="1"/>
  <c r="H238" i="1"/>
  <c r="H236" i="1" s="1"/>
  <c r="H43" i="1"/>
  <c r="H42" i="1"/>
  <c r="H285" i="1"/>
  <c r="H283" i="1" s="1"/>
  <c r="H266" i="1"/>
  <c r="H230" i="1"/>
  <c r="H183" i="1"/>
  <c r="H150" i="1"/>
  <c r="H144" i="1"/>
  <c r="H132" i="1"/>
  <c r="H129" i="1"/>
  <c r="H31" i="1"/>
  <c r="H27" i="1" s="1"/>
  <c r="H8" i="1"/>
  <c r="H6" i="1"/>
  <c r="H26" i="1"/>
  <c r="H282" i="1"/>
  <c r="H280" i="1" s="1"/>
  <c r="H254" i="1"/>
  <c r="H252" i="1" s="1"/>
  <c r="H250" i="1"/>
  <c r="H248" i="1" s="1"/>
  <c r="H231" i="1"/>
  <c r="H228" i="1"/>
  <c r="H229" i="1"/>
  <c r="H209" i="1"/>
  <c r="H206" i="1" s="1"/>
  <c r="H141" i="1"/>
  <c r="H119" i="1"/>
  <c r="F302" i="1"/>
  <c r="H246" i="1"/>
  <c r="H244" i="1" s="1"/>
  <c r="H205" i="1"/>
  <c r="H202" i="1" s="1"/>
  <c r="H51" i="1"/>
  <c r="G24" i="1"/>
  <c r="G298" i="1"/>
  <c r="H298" i="1"/>
  <c r="H277" i="1"/>
  <c r="H269" i="1"/>
  <c r="H258" i="1"/>
  <c r="G258" i="1"/>
  <c r="G252" i="1"/>
  <c r="G248" i="1"/>
  <c r="G244" i="1"/>
  <c r="H240" i="1"/>
  <c r="G240" i="1"/>
  <c r="G236" i="1"/>
  <c r="G225" i="1"/>
  <c r="H220" i="1"/>
  <c r="G220" i="1"/>
  <c r="H217" i="1"/>
  <c r="G217" i="1"/>
  <c r="H210" i="1"/>
  <c r="G210" i="1"/>
  <c r="G206" i="1"/>
  <c r="G202" i="1"/>
  <c r="G187" i="1"/>
  <c r="G184" i="1"/>
  <c r="G151" i="1"/>
  <c r="G142" i="1"/>
  <c r="G130" i="1"/>
  <c r="G49" i="1"/>
  <c r="H44" i="1"/>
  <c r="G40" i="1"/>
  <c r="H32" i="1"/>
  <c r="G32" i="1"/>
  <c r="G27" i="1"/>
  <c r="H20" i="1"/>
  <c r="G20" i="1"/>
  <c r="G9" i="1"/>
  <c r="G303" i="1"/>
  <c r="G283" i="1"/>
  <c r="G280" i="1"/>
  <c r="G277" i="1"/>
  <c r="G269" i="1"/>
  <c r="G262" i="1"/>
  <c r="G44" i="1"/>
  <c r="I21" i="1" l="1"/>
  <c r="I214" i="1"/>
  <c r="K227" i="1"/>
  <c r="I287" i="1"/>
  <c r="K119" i="1"/>
  <c r="H187" i="1"/>
  <c r="H225" i="1"/>
  <c r="H130" i="1"/>
  <c r="H151" i="1"/>
  <c r="H142" i="1"/>
  <c r="H9" i="1"/>
  <c r="H21" i="1" s="1"/>
  <c r="G214" i="1"/>
  <c r="H40" i="1"/>
  <c r="H49" i="1"/>
  <c r="G21" i="1"/>
  <c r="H24" i="1"/>
  <c r="G287" i="1"/>
  <c r="H262" i="1"/>
  <c r="E264" i="1"/>
  <c r="E266" i="1"/>
  <c r="E282" i="1"/>
  <c r="E280" i="1" s="1"/>
  <c r="E209" i="1"/>
  <c r="E250" i="1"/>
  <c r="E238" i="1"/>
  <c r="E236" i="1" s="1"/>
  <c r="E213" i="1"/>
  <c r="F213" i="1" s="1"/>
  <c r="E141" i="1"/>
  <c r="E132" i="1"/>
  <c r="E134" i="1"/>
  <c r="F134" i="1" s="1"/>
  <c r="E129" i="1"/>
  <c r="E51" i="1"/>
  <c r="E42" i="1"/>
  <c r="E40" i="1" s="1"/>
  <c r="E29" i="1"/>
  <c r="F29" i="1" s="1"/>
  <c r="E26" i="1"/>
  <c r="E8" i="1"/>
  <c r="E6" i="1"/>
  <c r="E254" i="1"/>
  <c r="E252" i="1" s="1"/>
  <c r="E246" i="1"/>
  <c r="E244" i="1" s="1"/>
  <c r="E144" i="1"/>
  <c r="F144" i="1" s="1"/>
  <c r="E230" i="1"/>
  <c r="E222" i="1"/>
  <c r="E186" i="1"/>
  <c r="E184" i="1" s="1"/>
  <c r="E183" i="1"/>
  <c r="E150" i="1"/>
  <c r="E31" i="1"/>
  <c r="F31" i="1" s="1"/>
  <c r="E298" i="1"/>
  <c r="E283" i="1"/>
  <c r="F285" i="1"/>
  <c r="E276" i="1"/>
  <c r="F276" i="1" s="1"/>
  <c r="E273" i="1"/>
  <c r="F273" i="1" s="1"/>
  <c r="E277" i="1"/>
  <c r="E258" i="1"/>
  <c r="E240" i="1"/>
  <c r="E229" i="1"/>
  <c r="F229" i="1" s="1"/>
  <c r="E228" i="1"/>
  <c r="E217" i="1"/>
  <c r="E32" i="1"/>
  <c r="E208" i="1"/>
  <c r="F208" i="1" s="1"/>
  <c r="E202" i="1"/>
  <c r="E187" i="1"/>
  <c r="E44" i="1"/>
  <c r="E20" i="1"/>
  <c r="F294" i="1"/>
  <c r="F286" i="1"/>
  <c r="F292" i="1"/>
  <c r="F17" i="1"/>
  <c r="D9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4" i="1"/>
  <c r="F205" i="1"/>
  <c r="F212" i="1"/>
  <c r="F219" i="1"/>
  <c r="F223" i="1"/>
  <c r="F224" i="1"/>
  <c r="F231" i="1"/>
  <c r="F232" i="1"/>
  <c r="F233" i="1"/>
  <c r="F234" i="1"/>
  <c r="F235" i="1"/>
  <c r="F242" i="1"/>
  <c r="F243" i="1"/>
  <c r="F247" i="1"/>
  <c r="F251" i="1"/>
  <c r="F255" i="1"/>
  <c r="F256" i="1"/>
  <c r="F257" i="1"/>
  <c r="F260" i="1"/>
  <c r="F261" i="1"/>
  <c r="F265" i="1"/>
  <c r="F267" i="1"/>
  <c r="F268" i="1"/>
  <c r="F272" i="1"/>
  <c r="F274" i="1"/>
  <c r="F279" i="1"/>
  <c r="F291" i="1"/>
  <c r="F293" i="1"/>
  <c r="F295" i="1"/>
  <c r="F296" i="1"/>
  <c r="F297" i="1"/>
  <c r="F168" i="1"/>
  <c r="F169" i="1"/>
  <c r="F170" i="1"/>
  <c r="F171" i="1"/>
  <c r="F172" i="1"/>
  <c r="F173" i="1"/>
  <c r="F174" i="1"/>
  <c r="F175" i="1"/>
  <c r="F176" i="1"/>
  <c r="F177" i="1"/>
  <c r="F178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33" i="1"/>
  <c r="F135" i="1"/>
  <c r="F136" i="1"/>
  <c r="F137" i="1"/>
  <c r="F138" i="1"/>
  <c r="F139" i="1"/>
  <c r="F140" i="1"/>
  <c r="F145" i="1"/>
  <c r="F146" i="1"/>
  <c r="F147" i="1"/>
  <c r="F148" i="1"/>
  <c r="F149" i="1"/>
  <c r="F153" i="1"/>
  <c r="F81" i="1"/>
  <c r="F84" i="1"/>
  <c r="F85" i="1"/>
  <c r="F86" i="1"/>
  <c r="F87" i="1"/>
  <c r="F88" i="1"/>
  <c r="F89" i="1"/>
  <c r="F90" i="1"/>
  <c r="F91" i="1"/>
  <c r="F92" i="1"/>
  <c r="F93" i="1"/>
  <c r="F94" i="1"/>
  <c r="F95" i="1"/>
  <c r="F97" i="1"/>
  <c r="F99" i="1"/>
  <c r="F100" i="1"/>
  <c r="F101" i="1"/>
  <c r="F102" i="1"/>
  <c r="F105" i="1"/>
  <c r="F106" i="1"/>
  <c r="F107" i="1"/>
  <c r="F108" i="1"/>
  <c r="F109" i="1"/>
  <c r="F110" i="1"/>
  <c r="F111" i="1"/>
  <c r="F112" i="1"/>
  <c r="F113" i="1"/>
  <c r="F121" i="1"/>
  <c r="F122" i="1"/>
  <c r="F125" i="1"/>
  <c r="F126" i="1"/>
  <c r="F128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46" i="1"/>
  <c r="F47" i="1"/>
  <c r="F48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30" i="1"/>
  <c r="F35" i="1"/>
  <c r="F36" i="1"/>
  <c r="F37" i="1"/>
  <c r="F38" i="1"/>
  <c r="F7" i="1"/>
  <c r="F13" i="1"/>
  <c r="F14" i="1"/>
  <c r="F15" i="1"/>
  <c r="F16" i="1"/>
  <c r="F18" i="1"/>
  <c r="F19" i="1"/>
  <c r="F5" i="1"/>
  <c r="C282" i="1"/>
  <c r="C51" i="1"/>
  <c r="D244" i="1"/>
  <c r="C266" i="1"/>
  <c r="C264" i="1"/>
  <c r="C230" i="1"/>
  <c r="C209" i="1"/>
  <c r="C186" i="1"/>
  <c r="C42" i="1"/>
  <c r="D24" i="1"/>
  <c r="C26" i="1"/>
  <c r="C8" i="1"/>
  <c r="C6" i="1"/>
  <c r="D303" i="1"/>
  <c r="D298" i="1"/>
  <c r="D283" i="1"/>
  <c r="D280" i="1"/>
  <c r="D277" i="1"/>
  <c r="D269" i="1"/>
  <c r="D262" i="1"/>
  <c r="D258" i="1"/>
  <c r="D252" i="1"/>
  <c r="D248" i="1"/>
  <c r="D240" i="1"/>
  <c r="D236" i="1"/>
  <c r="D225" i="1"/>
  <c r="D220" i="1"/>
  <c r="D217" i="1"/>
  <c r="D210" i="1"/>
  <c r="D206" i="1"/>
  <c r="D202" i="1"/>
  <c r="D187" i="1"/>
  <c r="D184" i="1"/>
  <c r="D151" i="1"/>
  <c r="D142" i="1"/>
  <c r="D130" i="1"/>
  <c r="D49" i="1"/>
  <c r="D44" i="1"/>
  <c r="D40" i="1"/>
  <c r="D32" i="1"/>
  <c r="D27" i="1"/>
  <c r="D20" i="1"/>
  <c r="C201" i="1"/>
  <c r="C187" i="1" s="1"/>
  <c r="C12" i="1"/>
  <c r="C20" i="1" s="1"/>
  <c r="C254" i="1"/>
  <c r="C252" i="1" s="1"/>
  <c r="C238" i="1"/>
  <c r="C239" i="1"/>
  <c r="F239" i="1" s="1"/>
  <c r="C228" i="1"/>
  <c r="C183" i="1"/>
  <c r="C141" i="1"/>
  <c r="C132" i="1"/>
  <c r="C115" i="1"/>
  <c r="F115" i="1" s="1"/>
  <c r="C123" i="1"/>
  <c r="F123" i="1" s="1"/>
  <c r="C124" i="1"/>
  <c r="F124" i="1" s="1"/>
  <c r="C118" i="1"/>
  <c r="F118" i="1" s="1"/>
  <c r="C117" i="1"/>
  <c r="F117" i="1" s="1"/>
  <c r="C116" i="1"/>
  <c r="F116" i="1" s="1"/>
  <c r="C129" i="1"/>
  <c r="C43" i="1"/>
  <c r="F43" i="1" s="1"/>
  <c r="C39" i="1"/>
  <c r="F39" i="1" s="1"/>
  <c r="C34" i="1"/>
  <c r="F34" i="1" s="1"/>
  <c r="C27" i="1"/>
  <c r="C298" i="1"/>
  <c r="C283" i="1"/>
  <c r="C277" i="1"/>
  <c r="C269" i="1"/>
  <c r="C258" i="1"/>
  <c r="C248" i="1"/>
  <c r="C240" i="1"/>
  <c r="C220" i="1"/>
  <c r="C217" i="1"/>
  <c r="C210" i="1"/>
  <c r="C202" i="1"/>
  <c r="C142" i="1"/>
  <c r="C83" i="1"/>
  <c r="F83" i="1" s="1"/>
  <c r="C82" i="1"/>
  <c r="F82" i="1" s="1"/>
  <c r="C44" i="1"/>
  <c r="F42" i="1" l="1"/>
  <c r="F40" i="1" s="1"/>
  <c r="K117" i="1"/>
  <c r="K55" i="1"/>
  <c r="K108" i="1"/>
  <c r="K135" i="1"/>
  <c r="K158" i="1"/>
  <c r="K168" i="1"/>
  <c r="K199" i="1"/>
  <c r="K35" i="1"/>
  <c r="K54" i="1"/>
  <c r="K65" i="1"/>
  <c r="K133" i="1"/>
  <c r="K177" i="1"/>
  <c r="I302" i="1"/>
  <c r="K232" i="1"/>
  <c r="K198" i="1"/>
  <c r="K30" i="1"/>
  <c r="K53" i="1"/>
  <c r="K128" i="1"/>
  <c r="K93" i="1"/>
  <c r="K149" i="1"/>
  <c r="K167" i="1"/>
  <c r="K297" i="1"/>
  <c r="K261" i="1"/>
  <c r="K292" i="1"/>
  <c r="K83" i="1"/>
  <c r="K124" i="1"/>
  <c r="K64" i="1"/>
  <c r="K74" i="1"/>
  <c r="K126" i="1"/>
  <c r="K92" i="1"/>
  <c r="K166" i="1"/>
  <c r="K175" i="1"/>
  <c r="K296" i="1"/>
  <c r="K224" i="1"/>
  <c r="K197" i="1"/>
  <c r="K286" i="1"/>
  <c r="I288" i="1"/>
  <c r="K123" i="1"/>
  <c r="K63" i="1"/>
  <c r="K48" i="1"/>
  <c r="K73" i="1"/>
  <c r="K106" i="1"/>
  <c r="K91" i="1"/>
  <c r="K147" i="1"/>
  <c r="K165" i="1"/>
  <c r="K154" i="1"/>
  <c r="K174" i="1"/>
  <c r="K295" i="1"/>
  <c r="K223" i="1"/>
  <c r="K196" i="1"/>
  <c r="K294" i="1"/>
  <c r="K115" i="1"/>
  <c r="K62" i="1"/>
  <c r="K47" i="1"/>
  <c r="K72" i="1"/>
  <c r="K122" i="1"/>
  <c r="K105" i="1"/>
  <c r="K90" i="1"/>
  <c r="K146" i="1"/>
  <c r="K293" i="1"/>
  <c r="K257" i="1"/>
  <c r="K195" i="1"/>
  <c r="K61" i="1"/>
  <c r="K71" i="1"/>
  <c r="K121" i="1"/>
  <c r="K89" i="1"/>
  <c r="K145" i="1"/>
  <c r="K164" i="1"/>
  <c r="K194" i="1"/>
  <c r="K273" i="1"/>
  <c r="K29" i="1"/>
  <c r="K42" i="1"/>
  <c r="K60" i="1"/>
  <c r="K80" i="1"/>
  <c r="K70" i="1"/>
  <c r="K113" i="1"/>
  <c r="K102" i="1"/>
  <c r="K88" i="1"/>
  <c r="K140" i="1"/>
  <c r="K163" i="1"/>
  <c r="K173" i="1"/>
  <c r="K205" i="1"/>
  <c r="K193" i="1"/>
  <c r="K276" i="1"/>
  <c r="K39" i="1"/>
  <c r="K59" i="1"/>
  <c r="K79" i="1"/>
  <c r="K69" i="1"/>
  <c r="K112" i="1"/>
  <c r="K101" i="1"/>
  <c r="K87" i="1"/>
  <c r="K139" i="1"/>
  <c r="K162" i="1"/>
  <c r="K172" i="1"/>
  <c r="K256" i="1"/>
  <c r="K243" i="1"/>
  <c r="K192" i="1"/>
  <c r="K95" i="1"/>
  <c r="K267" i="1"/>
  <c r="K94" i="1"/>
  <c r="K265" i="1"/>
  <c r="K31" i="1"/>
  <c r="K82" i="1"/>
  <c r="K156" i="1"/>
  <c r="K148" i="1"/>
  <c r="K75" i="1"/>
  <c r="K178" i="1"/>
  <c r="K153" i="1"/>
  <c r="K38" i="1"/>
  <c r="K67" i="1"/>
  <c r="K85" i="1"/>
  <c r="K251" i="1"/>
  <c r="K208" i="1"/>
  <c r="K134" i="1"/>
  <c r="K36" i="1"/>
  <c r="K81" i="1"/>
  <c r="K233" i="1"/>
  <c r="K118" i="1"/>
  <c r="K157" i="1"/>
  <c r="K213" i="1"/>
  <c r="K176" i="1"/>
  <c r="K231" i="1"/>
  <c r="K229" i="1"/>
  <c r="K52" i="1"/>
  <c r="K107" i="1"/>
  <c r="K155" i="1"/>
  <c r="K125" i="1"/>
  <c r="K58" i="1"/>
  <c r="K78" i="1"/>
  <c r="K68" i="1"/>
  <c r="K111" i="1"/>
  <c r="K100" i="1"/>
  <c r="K86" i="1"/>
  <c r="K138" i="1"/>
  <c r="K161" i="1"/>
  <c r="K171" i="1"/>
  <c r="K274" i="1"/>
  <c r="K255" i="1"/>
  <c r="K191" i="1"/>
  <c r="K57" i="1"/>
  <c r="K77" i="1"/>
  <c r="K110" i="1"/>
  <c r="K99" i="1"/>
  <c r="K137" i="1"/>
  <c r="K160" i="1"/>
  <c r="K170" i="1"/>
  <c r="K235" i="1"/>
  <c r="K190" i="1"/>
  <c r="K116" i="1"/>
  <c r="K239" i="1"/>
  <c r="K37" i="1"/>
  <c r="K56" i="1"/>
  <c r="K76" i="1"/>
  <c r="K66" i="1"/>
  <c r="K109" i="1"/>
  <c r="K97" i="1"/>
  <c r="K84" i="1"/>
  <c r="K136" i="1"/>
  <c r="K159" i="1"/>
  <c r="K169" i="1"/>
  <c r="K268" i="1"/>
  <c r="K247" i="1"/>
  <c r="K234" i="1"/>
  <c r="K200" i="1"/>
  <c r="H287" i="1"/>
  <c r="F51" i="1"/>
  <c r="H214" i="1"/>
  <c r="F6" i="1"/>
  <c r="F129" i="1"/>
  <c r="F132" i="1"/>
  <c r="F258" i="1"/>
  <c r="E220" i="1"/>
  <c r="F222" i="1"/>
  <c r="C206" i="1"/>
  <c r="F209" i="1"/>
  <c r="F202" i="1"/>
  <c r="F283" i="1"/>
  <c r="E248" i="1"/>
  <c r="F250" i="1"/>
  <c r="F210" i="1"/>
  <c r="F240" i="1"/>
  <c r="F238" i="1"/>
  <c r="F266" i="1"/>
  <c r="F44" i="1"/>
  <c r="F217" i="1"/>
  <c r="F32" i="1"/>
  <c r="F298" i="1"/>
  <c r="F183" i="1"/>
  <c r="F277" i="1"/>
  <c r="F264" i="1"/>
  <c r="F269" i="1"/>
  <c r="C280" i="1"/>
  <c r="F282" i="1"/>
  <c r="F27" i="1"/>
  <c r="F186" i="1"/>
  <c r="E210" i="1"/>
  <c r="E142" i="1"/>
  <c r="E262" i="1"/>
  <c r="F230" i="1"/>
  <c r="F150" i="1"/>
  <c r="E225" i="1"/>
  <c r="E269" i="1"/>
  <c r="F246" i="1"/>
  <c r="E151" i="1"/>
  <c r="E206" i="1"/>
  <c r="E24" i="1"/>
  <c r="E27" i="1"/>
  <c r="F228" i="1"/>
  <c r="E130" i="1"/>
  <c r="F141" i="1"/>
  <c r="E49" i="1"/>
  <c r="F8" i="1"/>
  <c r="D21" i="1"/>
  <c r="F201" i="1"/>
  <c r="E9" i="1"/>
  <c r="E21" i="1" s="1"/>
  <c r="F26" i="1"/>
  <c r="F12" i="1"/>
  <c r="F254" i="1"/>
  <c r="C244" i="1"/>
  <c r="C24" i="1"/>
  <c r="C225" i="1"/>
  <c r="C184" i="1"/>
  <c r="D287" i="1"/>
  <c r="D214" i="1"/>
  <c r="C9" i="1"/>
  <c r="C130" i="1"/>
  <c r="C262" i="1"/>
  <c r="C236" i="1"/>
  <c r="C151" i="1"/>
  <c r="C32" i="1"/>
  <c r="C40" i="1"/>
  <c r="C49" i="1"/>
  <c r="F303" i="1"/>
  <c r="J302" i="1" l="1"/>
  <c r="K183" i="1"/>
  <c r="K144" i="1"/>
  <c r="K201" i="1"/>
  <c r="K132" i="1"/>
  <c r="K150" i="1"/>
  <c r="K129" i="1"/>
  <c r="K141" i="1"/>
  <c r="K230" i="1"/>
  <c r="K189" i="1"/>
  <c r="J27" i="1"/>
  <c r="K27" i="1" s="1"/>
  <c r="I303" i="1"/>
  <c r="K266" i="1"/>
  <c r="K51" i="1"/>
  <c r="H288" i="1"/>
  <c r="H299" i="1" s="1"/>
  <c r="F130" i="1"/>
  <c r="F24" i="1"/>
  <c r="F49" i="1"/>
  <c r="F142" i="1"/>
  <c r="F9" i="1"/>
  <c r="F225" i="1"/>
  <c r="F262" i="1"/>
  <c r="F248" i="1"/>
  <c r="F252" i="1"/>
  <c r="F184" i="1"/>
  <c r="F20" i="1"/>
  <c r="F244" i="1"/>
  <c r="F236" i="1"/>
  <c r="F206" i="1"/>
  <c r="F280" i="1"/>
  <c r="F220" i="1"/>
  <c r="F187" i="1"/>
  <c r="F151" i="1"/>
  <c r="G288" i="1"/>
  <c r="G299" i="1" s="1"/>
  <c r="E287" i="1"/>
  <c r="E214" i="1"/>
  <c r="D288" i="1"/>
  <c r="D299" i="1" s="1"/>
  <c r="C21" i="1"/>
  <c r="C287" i="1"/>
  <c r="C214" i="1"/>
  <c r="J240" i="1" l="1"/>
  <c r="K240" i="1" s="1"/>
  <c r="K242" i="1"/>
  <c r="J298" i="1"/>
  <c r="K291" i="1"/>
  <c r="J32" i="1"/>
  <c r="K32" i="1" s="1"/>
  <c r="K34" i="1"/>
  <c r="J210" i="1"/>
  <c r="K210" i="1" s="1"/>
  <c r="K212" i="1"/>
  <c r="J40" i="1"/>
  <c r="K43" i="1"/>
  <c r="J283" i="1"/>
  <c r="K283" i="1" s="1"/>
  <c r="K285" i="1"/>
  <c r="J269" i="1"/>
  <c r="K269" i="1" s="1"/>
  <c r="K272" i="1"/>
  <c r="J258" i="1"/>
  <c r="K258" i="1" s="1"/>
  <c r="K260" i="1"/>
  <c r="J217" i="1"/>
  <c r="K217" i="1" s="1"/>
  <c r="K219" i="1"/>
  <c r="J44" i="1"/>
  <c r="K44" i="1" s="1"/>
  <c r="K46" i="1"/>
  <c r="J202" i="1"/>
  <c r="K202" i="1" s="1"/>
  <c r="K204" i="1"/>
  <c r="J277" i="1"/>
  <c r="K277" i="1" s="1"/>
  <c r="K279" i="1"/>
  <c r="J303" i="1"/>
  <c r="J151" i="1"/>
  <c r="K151" i="1" s="1"/>
  <c r="K20" i="1"/>
  <c r="K142" i="1"/>
  <c r="J49" i="1"/>
  <c r="K49" i="1" s="1"/>
  <c r="J187" i="1"/>
  <c r="K187" i="1" s="1"/>
  <c r="J130" i="1"/>
  <c r="K130" i="1" s="1"/>
  <c r="F287" i="1"/>
  <c r="F214" i="1"/>
  <c r="F21" i="1"/>
  <c r="E288" i="1"/>
  <c r="E299" i="1" s="1"/>
  <c r="C288" i="1"/>
  <c r="C299" i="1" s="1"/>
  <c r="K40" i="1" l="1"/>
  <c r="J214" i="1"/>
  <c r="J280" i="1"/>
  <c r="K280" i="1" s="1"/>
  <c r="K282" i="1"/>
  <c r="J206" i="1"/>
  <c r="K209" i="1"/>
  <c r="J248" i="1"/>
  <c r="K248" i="1" s="1"/>
  <c r="K250" i="1"/>
  <c r="J236" i="1"/>
  <c r="J287" i="1" s="1"/>
  <c r="K238" i="1"/>
  <c r="J262" i="1"/>
  <c r="K262" i="1" s="1"/>
  <c r="K264" i="1"/>
  <c r="J244" i="1"/>
  <c r="K244" i="1" s="1"/>
  <c r="K246" i="1"/>
  <c r="J225" i="1"/>
  <c r="K225" i="1" s="1"/>
  <c r="K228" i="1"/>
  <c r="J220" i="1"/>
  <c r="K220" i="1" s="1"/>
  <c r="K222" i="1"/>
  <c r="J184" i="1"/>
  <c r="K184" i="1" s="1"/>
  <c r="K186" i="1"/>
  <c r="J252" i="1"/>
  <c r="K252" i="1" s="1"/>
  <c r="K254" i="1"/>
  <c r="J21" i="1"/>
  <c r="K21" i="1" s="1"/>
  <c r="F288" i="1"/>
  <c r="F299" i="1" s="1"/>
  <c r="K206" i="1" l="1"/>
  <c r="K236" i="1"/>
  <c r="K287" i="1"/>
  <c r="K214" i="1" l="1"/>
  <c r="J288" i="1"/>
  <c r="J299" i="1" s="1"/>
  <c r="K299" i="1" s="1"/>
  <c r="K288" i="1" l="1"/>
</calcChain>
</file>

<file path=xl/sharedStrings.xml><?xml version="1.0" encoding="utf-8"?>
<sst xmlns="http://schemas.openxmlformats.org/spreadsheetml/2006/main" count="435" uniqueCount="278">
  <si>
    <t>Závazný ukazatel</t>
  </si>
  <si>
    <t xml:space="preserve">   Časová použitelnost                 dotací a příspěvků                 (od - do)</t>
  </si>
  <si>
    <t>sl. 1</t>
  </si>
  <si>
    <t>sl. 2</t>
  </si>
  <si>
    <t>sl. 4</t>
  </si>
  <si>
    <t>sl. 5</t>
  </si>
  <si>
    <t>Příjmy (třída 1 - 4)</t>
  </si>
  <si>
    <t>Daňové příjmy (třída 1)</t>
  </si>
  <si>
    <t>Nedaňové příjmy (třída 2)</t>
  </si>
  <si>
    <t>Kapitálové příjmy (třída 3)</t>
  </si>
  <si>
    <t>Přijaté transfery (třída 4)</t>
  </si>
  <si>
    <t>Příjmy celkem (třída 1 - 4)</t>
  </si>
  <si>
    <t>Financování - příjmy (příjmy třída 8 bez pol. 8117)</t>
  </si>
  <si>
    <t>8115 - Účelový zůstatek minulého roku</t>
  </si>
  <si>
    <t>8115 - Neúčelový zůstatek minulého roku</t>
  </si>
  <si>
    <t>8115 - Čerpání sociálního fondu</t>
  </si>
  <si>
    <t xml:space="preserve">8115 - Čerpání fondu pomoci občanům dotčeným výstavbou komunikace R/48 </t>
  </si>
  <si>
    <t>8115 - Čerpání fondu pomoci občanům dotčeným živelními pohromami</t>
  </si>
  <si>
    <t>8115 - Čerpání fondu obnovy vodovodů a kanalizací</t>
  </si>
  <si>
    <t>8123 - Čerpání úvěru ze SFPI</t>
  </si>
  <si>
    <t>8123 - Čerpání investičního úvěru</t>
  </si>
  <si>
    <t>Financování - příjmy celkem (příjmy třída 8 bez pol. 8117)</t>
  </si>
  <si>
    <t>Celkem zdroje (příjmy + financování)</t>
  </si>
  <si>
    <t>Běžné výdaje (třída 5)</t>
  </si>
  <si>
    <t>Z toho:</t>
  </si>
  <si>
    <r>
      <t>OR</t>
    </r>
    <r>
      <rPr>
        <b/>
        <sz val="10"/>
        <color indexed="8"/>
        <rFont val="Calibri"/>
        <family val="2"/>
        <charset val="238"/>
        <scheme val="minor"/>
      </rPr>
      <t>J 02-Odbor vnitřních věcí</t>
    </r>
  </si>
  <si>
    <t>Výdaje na opravy a udržování</t>
  </si>
  <si>
    <t>Neinvestiční výdaje hrazené ze sociálního fondu</t>
  </si>
  <si>
    <t>Ostatní neinvestiční výdaje odboru vnitřních věcí</t>
  </si>
  <si>
    <t>ORJ 03-Finanční odbor</t>
  </si>
  <si>
    <t>Československá obec legionářská, z. s. - neinvestiční dotace</t>
  </si>
  <si>
    <t>Plánovaná rezerva města</t>
  </si>
  <si>
    <t>Rezerva na odvody a sankce</t>
  </si>
  <si>
    <t>Rezerva na provoz zubní pohotovosti</t>
  </si>
  <si>
    <t>Ostatní neinvestiční výdaje finančního odboru</t>
  </si>
  <si>
    <t>ORJ 04-Odbor správy obecního majetku</t>
  </si>
  <si>
    <t>Ostatní neinvestiční výdaje odboru správy obecního majetku</t>
  </si>
  <si>
    <t>ORJ 05-Živnostenský úřad</t>
  </si>
  <si>
    <t>Sdružení ochrany spotřebitelů Moravy a Slezska - neinvestiční transfer</t>
  </si>
  <si>
    <t>Ostatní neinvestiční výdaje živnostenského úřadu</t>
  </si>
  <si>
    <t>ORJ 06-Odbor ŠKMaT</t>
  </si>
  <si>
    <t>DP Podpora a rozvoj kulturních aktivit ve městě - viz doplňující příloha č. 1</t>
  </si>
  <si>
    <t>viz dopl. příloha č. 1</t>
  </si>
  <si>
    <t>viz dopl. příloha č. 2</t>
  </si>
  <si>
    <t>viz dopl. příloha č. 3</t>
  </si>
  <si>
    <t>MŠ Beruška - na provoz</t>
  </si>
  <si>
    <t>MŠ Pohádka - na provoz</t>
  </si>
  <si>
    <t>ZŠ a MŠ Naděje, F-M, Škarabelova 562 - na provoz MŠ K Hájku</t>
  </si>
  <si>
    <t xml:space="preserve">MŠ Sluníčko - na provoz  </t>
  </si>
  <si>
    <t>MŠ Mateřídouška - na provoz</t>
  </si>
  <si>
    <t>ZŠ a MŠ F-M, Chlebovice - na provoz MŠ Chlebovice</t>
  </si>
  <si>
    <t>ZŠ a MŠ F-M, Skalice - na provoz MŠ Skalice</t>
  </si>
  <si>
    <t>MŠ Sněženka - na provoz</t>
  </si>
  <si>
    <t>ZŠ a MŠ F-M, Lískovec - na provoz MŠ Lískovec</t>
  </si>
  <si>
    <t xml:space="preserve">MŠ Radost - na provoz </t>
  </si>
  <si>
    <t>MŠ Barevný svět - na provoz</t>
  </si>
  <si>
    <t>ZŠ F-M, národního umělce P. Bezruče, tř. TGM 454 - na provoz</t>
  </si>
  <si>
    <t xml:space="preserve">ZŠ F-M, J. Čapka 2555 - na provoz </t>
  </si>
  <si>
    <t xml:space="preserve">ZŠ a MŠ Naděje, F-M, Škarabelova 562 - na provoz ZŠ </t>
  </si>
  <si>
    <t>ZŠ F-M, Komenského 402 - na provoz</t>
  </si>
  <si>
    <t xml:space="preserve">ZŠ F-M, El. Krásnohorské 2254 - na provoz </t>
  </si>
  <si>
    <t>ZŠ F-M, Pionýrů 400 - na provoz</t>
  </si>
  <si>
    <t>ZŠ F-M, 1. máje 1700 - na provoz</t>
  </si>
  <si>
    <t>ZŠ F-M, Československé armády 570 - na provoz</t>
  </si>
  <si>
    <t>ZŠ a MŠ F-M, Lískovec - na provoz ZŠ Lískovec</t>
  </si>
  <si>
    <t>ZŠ a MŠ F-M, Chlebovice - na provoz ZŠ Chlebovice</t>
  </si>
  <si>
    <t>ZŠ F-M, J. z Poděbrad 3109 - na provoz</t>
  </si>
  <si>
    <t>ZŠ a MŠ F-M, Skalice - na provoz ZŠ Skalice</t>
  </si>
  <si>
    <t>Středisko volného času Klíč - na provoz</t>
  </si>
  <si>
    <t>ZUŠ Frýdek-Místek - na provoz</t>
  </si>
  <si>
    <t>Městská knihovna Frýdek-Místek - na provoz</t>
  </si>
  <si>
    <t>Národní dům Frýdek-Místek - na provoz</t>
  </si>
  <si>
    <t>ZŠ Nár. um. P. Bezruče, T.G.M. 454</t>
  </si>
  <si>
    <t>ZŠ Jana Čapka 2555</t>
  </si>
  <si>
    <t>ZŠ Komenského 402</t>
  </si>
  <si>
    <t>ZŠ El. Krásnohorské 2254</t>
  </si>
  <si>
    <t>ZŠ Pionýrů 400</t>
  </si>
  <si>
    <t>ZŠ 1. máje 1700</t>
  </si>
  <si>
    <t>ZŠ Československé armády 570</t>
  </si>
  <si>
    <t>ZŠ J. z Poděbrad 3109</t>
  </si>
  <si>
    <t>ZŠ a MŠ Lískovec</t>
  </si>
  <si>
    <t>ZŠ a MŠ Skalice 192</t>
  </si>
  <si>
    <t>ZŠ a MŠ Naděje</t>
  </si>
  <si>
    <t xml:space="preserve">GOODWILL v. o. š. - Seniorská akademie </t>
  </si>
  <si>
    <t>Paměť národa - POST BELLUM, z.ú.</t>
  </si>
  <si>
    <t>Love production s.r.o. - akce Sweetsen fest</t>
  </si>
  <si>
    <t>Evolution Brothers s.r.o. - akce FM CITY FEST</t>
  </si>
  <si>
    <t>Dětský folklorní soubor Ostravička z.s. - akce Mezinárodní folklorní festival</t>
  </si>
  <si>
    <t>Židovská obec v Ostravě - na opravy židovského hřbitova</t>
  </si>
  <si>
    <t>FK Frýdek-Místek z. s. - náklady družstva dospělých fotbalistů</t>
  </si>
  <si>
    <t>Handicap centrum Škola života F-M, o.p.s. - Sportovní olympiáda mentálně postižených</t>
  </si>
  <si>
    <t>Handicap centrum Škola života F-M, o.p.s. - na Zimní hry</t>
  </si>
  <si>
    <t>SKP Frýdek-Místek - náklady družstva dospělých házenkářů</t>
  </si>
  <si>
    <t>TJ Sokol Frýdek-Místek - na náklady družstva dospělých volejbalistek</t>
  </si>
  <si>
    <t>BŠŠ z.s. - na náklady družstva dospělých šachistů a šachistek</t>
  </si>
  <si>
    <t>BŠŠ z. s. - Turnaj šachových nadějí</t>
  </si>
  <si>
    <t>TJ Slezan F-M, z.s. - Hornická destíka</t>
  </si>
  <si>
    <t>TJ Slezan F-M, z.s  - Májové závody</t>
  </si>
  <si>
    <t>SK K2, z. s. - akce F-M sport FEST</t>
  </si>
  <si>
    <t>HC Frýdek-Místek 2015 s. r. o. - náklady družstva dospělých hokejistů</t>
  </si>
  <si>
    <t>Ostatní neinvestiční výdaje odboru ŠKMaT</t>
  </si>
  <si>
    <t>ORJ 07-Odbor dopravy a silničního hospodářství</t>
  </si>
  <si>
    <t>MSK - dopravní obslužnost Česko-Těšínsko</t>
  </si>
  <si>
    <t>MSK - dopravní obslužnost Frýdlantsko</t>
  </si>
  <si>
    <t>MSK - dopravní obslužnost Frýdecko-Místecko</t>
  </si>
  <si>
    <t>MSK - dopravní obslužnost Havířovsko</t>
  </si>
  <si>
    <t>MSK - příspěvek na úhradu protarifovací ztráty v zóně č. 511 (Frýdek, Myslivna)</t>
  </si>
  <si>
    <t>Ostatní neinvestiční výdaje odboru dopravy a silničního hospodářství</t>
  </si>
  <si>
    <t>ORJ 09-Odbor životního prostředí a zemědělství</t>
  </si>
  <si>
    <r>
      <t xml:space="preserve">DP Podpora aktivit vedoucích ke zlepšení životního prostředí - </t>
    </r>
    <r>
      <rPr>
        <i/>
        <sz val="10"/>
        <color theme="1"/>
        <rFont val="Calibri"/>
        <family val="2"/>
        <charset val="238"/>
        <scheme val="minor"/>
      </rPr>
      <t>neinvestiční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i/>
        <sz val="10"/>
        <color theme="1"/>
        <rFont val="Calibri"/>
        <family val="2"/>
        <charset val="238"/>
        <scheme val="minor"/>
      </rPr>
      <t>část</t>
    </r>
    <r>
      <rPr>
        <sz val="10"/>
        <color theme="1"/>
        <rFont val="Calibri"/>
        <family val="2"/>
        <charset val="238"/>
        <scheme val="minor"/>
      </rPr>
      <t xml:space="preserve"> - viz doplňující příloha č. 5</t>
    </r>
  </si>
  <si>
    <t>viz dopl. příloha č. 5</t>
  </si>
  <si>
    <t xml:space="preserve">Sdružení vlastníků obecních a soukromých lesů v ČR </t>
  </si>
  <si>
    <t>Spolek pro Faunapark - neinvestiční příspěvek</t>
  </si>
  <si>
    <t xml:space="preserve">Neposedné tlapky, z. s. </t>
  </si>
  <si>
    <t>Ostatní neinvestiční výdaje odboru životního prostředí a zemědělství</t>
  </si>
  <si>
    <t>ORJ 11-Odbor sociálních služeb</t>
  </si>
  <si>
    <t>viz dopl. příloha č. 6</t>
  </si>
  <si>
    <t>viz dopl. příloha č. 9</t>
  </si>
  <si>
    <t>viz dopl. příloha č. 10</t>
  </si>
  <si>
    <t>viz dopl. příloha č. 11</t>
  </si>
  <si>
    <r>
      <t xml:space="preserve">Hospic Frýdek-Místek, p. o. 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Hospicem Frýdek-Místek, p. o. - č. smlouvy 03585/2023/SOC)</t>
    </r>
  </si>
  <si>
    <t>Jesle Frýdek-Místek, p. o. - na provoz</t>
  </si>
  <si>
    <r>
      <t xml:space="preserve">Domov pro seniory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Domovem pro seniory Frýdek-Místek, p. o. - č. smlouvy 03488/2023/SOC)</t>
    </r>
  </si>
  <si>
    <r>
      <t xml:space="preserve">Centrum pečovatelské služby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Centrem pečovatelské služby Frýdek-Místek, p. o. - č. smlouvy 03435/2023/SOC)</t>
    </r>
  </si>
  <si>
    <r>
      <t xml:space="preserve">Penzion pro seniory Frýdek-Místek, p. o. </t>
    </r>
    <r>
      <rPr>
        <i/>
        <sz val="10"/>
        <color indexed="8"/>
        <rFont val="Calibri"/>
        <family val="2"/>
        <charset val="238"/>
        <scheme val="minor"/>
      </rPr>
      <t xml:space="preserve">(přistoupení ke Smlouvě o závazku veřejné služby a vyrovnávací platbě za jeho výkon uzavřené mezi MSK a Penzionem pro seniory Frýdek-Místek, p. o. - č. smlouvy 03592/2023/SOC) </t>
    </r>
  </si>
  <si>
    <r>
      <t xml:space="preserve">ŽIRAFA-Integrované centrum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organizací ŽIRAFA-Integrované centrum Frýdek-Místek, p. o. - č. smlouvy 04214/2023/SOC)</t>
    </r>
  </si>
  <si>
    <t>Asociace poskytovatelů sociálních služeb ČR - členský poplatek</t>
  </si>
  <si>
    <t>Náš svět, p. o., Pržno - středisko Anenská</t>
  </si>
  <si>
    <t>Středisko sociálních služeb Frýdlant n. Ostravicí</t>
  </si>
  <si>
    <t>Medela-péče o seniory, o. p. s.</t>
  </si>
  <si>
    <t>Medela-péče o seniory, o. p. s., Frýdlant n/O</t>
  </si>
  <si>
    <t>Armáda spásy - Domov Přístav Frýdek-Místek</t>
  </si>
  <si>
    <t>Armáda spásy v ČR, z.s. - noclehárna pro muže Ostrava</t>
  </si>
  <si>
    <t>Cesta bez bariér</t>
  </si>
  <si>
    <t>Domov sv. Jana Křtitele, s. r. o.</t>
  </si>
  <si>
    <t>ISÚ Komorní Lhotka, p. o.</t>
  </si>
  <si>
    <t>Adámkova vila, Domov se zvlášním režimem, z. ú.</t>
  </si>
  <si>
    <t>Linka bezpečí, z. s.</t>
  </si>
  <si>
    <t>Ostatní neinvestiční výdaje odboru sociálních služeb</t>
  </si>
  <si>
    <t>ORJ 12-Investiční odbor</t>
  </si>
  <si>
    <t>Ostatní neinvestiční výdaje investičního odboru</t>
  </si>
  <si>
    <t>ORJ 13-Odbor územního rozvoje a stavebního řádu</t>
  </si>
  <si>
    <t>viz dopl. příloha č. 8</t>
  </si>
  <si>
    <t>viz dopl. příloha č. 7</t>
  </si>
  <si>
    <t>viz dopl. příloha č. 14</t>
  </si>
  <si>
    <t xml:space="preserve">Turistické informační centrum - na provoz </t>
  </si>
  <si>
    <t>Turistické informační centrum - FM plný chutí - příspěvek s vyúčtováním</t>
  </si>
  <si>
    <t>Destinační management turistické oblasti Beskydy - Valašsko, o. p. s. - příspěvek do fondu cestovního ruchu</t>
  </si>
  <si>
    <t>Region Beskydy - neinvestiční dotace</t>
  </si>
  <si>
    <t>Sdružení historických sídel Čech, Moravy a Slezska - členský příspěvek</t>
  </si>
  <si>
    <t>Svaz měst a obcí ČR - členský příspěvek</t>
  </si>
  <si>
    <t>Partnerství pro městskou mobilitu - členský příspěvek</t>
  </si>
  <si>
    <t>Rezerva na Program DARUJ F≈M</t>
  </si>
  <si>
    <t>Ostatní neinvestiční výdaje odboru územního rozvoje a stavebního řádu</t>
  </si>
  <si>
    <t>ORJ 16-Městská policie</t>
  </si>
  <si>
    <t>Ostatní neinvestiční výdaje Městské policie</t>
  </si>
  <si>
    <t>ORJ 17-Odbor informačních technologií</t>
  </si>
  <si>
    <t>Ostatní neinvestiční výdaje odboru informačních technologií</t>
  </si>
  <si>
    <t>ORJ 18-Odbor bezpečnostních rizik a prevence kriminality</t>
  </si>
  <si>
    <t>Ostatní neinvestiční výdaje odboru bezpečnostních rizik a prevence kriminality</t>
  </si>
  <si>
    <t>Běžné výdaje celkem (třída 5)</t>
  </si>
  <si>
    <t>Kapitálové výdaje (třída 6)</t>
  </si>
  <si>
    <t>ORJ 02-Odbor vnitřních věcí</t>
  </si>
  <si>
    <t>Výdaje na investiční akce</t>
  </si>
  <si>
    <t>Kapitálové výdaje hrazené ze sociálního fondu</t>
  </si>
  <si>
    <t>Ostatní kapitálové výdaje odboru vnitřních věcí</t>
  </si>
  <si>
    <t>Rezerva na požadavky Osadního výboru Chlebovice</t>
  </si>
  <si>
    <t>Rezerva na požadavky Osadního výboru Lískovec</t>
  </si>
  <si>
    <t>Rezerva na požadavky Osadního výboru Zelinkovice-Lysůvky</t>
  </si>
  <si>
    <t>Rezerva na požadavky Osadního výboru Skalice</t>
  </si>
  <si>
    <t>Rezerva na požadavky Osadního výboru Panské Nové Dvory</t>
  </si>
  <si>
    <t>Rezerva na městské investice - v oblasti bytového a nebytového fondu města</t>
  </si>
  <si>
    <t>Rezerva na městské investice - investiční akce ze zásobníku ORJ 12-IO</t>
  </si>
  <si>
    <t>Ostatní kapitálové výdaje finančního odboru</t>
  </si>
  <si>
    <t>Ostatní kapitálové výdaje odboru správy obecního majetku</t>
  </si>
  <si>
    <t>Ostatní kapitálové výdaje živnostenského úřadu</t>
  </si>
  <si>
    <t>Ostatní kapitálové výdaje odboru ŠKMaT</t>
  </si>
  <si>
    <t>Ostatní kapitálové výdaje odboru dopravy a silničního hospodářství</t>
  </si>
  <si>
    <t>Investiční výdaje hrazené z Fondu obnovy vodovodu a kanalizací - Rekonstrukce stoky - ul. Bruzovská</t>
  </si>
  <si>
    <r>
      <t xml:space="preserve">DP Podpora aktivit vedoucích ke zlepšení životního prostředí - </t>
    </r>
    <r>
      <rPr>
        <i/>
        <sz val="10"/>
        <color theme="1"/>
        <rFont val="Calibri"/>
        <family val="2"/>
        <charset val="238"/>
        <scheme val="minor"/>
      </rPr>
      <t xml:space="preserve">investiční část </t>
    </r>
    <r>
      <rPr>
        <sz val="10"/>
        <color theme="1"/>
        <rFont val="Calibri"/>
        <family val="2"/>
        <charset val="238"/>
        <scheme val="minor"/>
      </rPr>
      <t>- viz doplňující příloha č. 5</t>
    </r>
  </si>
  <si>
    <t>Ostatní kapitálové výdaje odboru životního prostředí a zemědělství</t>
  </si>
  <si>
    <t xml:space="preserve">Nemocnice ve Frýdku-Místku, p. o. - Smlouva o spolupráci </t>
  </si>
  <si>
    <t>Ostatní kapitálové výdaje odboru sociálních služeb</t>
  </si>
  <si>
    <t>Rezerva na realizaci akcí vybraných z participativního rozpočtu</t>
  </si>
  <si>
    <t>Rezerva na investice</t>
  </si>
  <si>
    <t>Ostatní kapitálové výdaje investičního odboru</t>
  </si>
  <si>
    <t>viz dopl. příloha č. 12</t>
  </si>
  <si>
    <t>Rezerva na spolufinancování dotací</t>
  </si>
  <si>
    <t>Investiční dotace obci Baška na akci "První úsek cyklostezky Frýdek-Místek - Baška, lávka u železniční stanice"</t>
  </si>
  <si>
    <t>Ostatní kapitálové výdaje odboru územního rozvoje a stavebního řádu</t>
  </si>
  <si>
    <t>Kapitálové výdaje celkem (třída 6)</t>
  </si>
  <si>
    <t>Výdaje celkem (třída 5 - 6)</t>
  </si>
  <si>
    <t>Financování - výdaje (výdaje třída 8 bez pol. 8118)</t>
  </si>
  <si>
    <t>8115 - Sociální fond</t>
  </si>
  <si>
    <t>8115 - Fond pomoci občanům dotčených výstavbou komunikace R/48</t>
  </si>
  <si>
    <t>8115 - Fond pomoci občanům dotčeným živelními pohromami</t>
  </si>
  <si>
    <t>8115 - Fond obnovy vodovodů a kanalizací</t>
  </si>
  <si>
    <t xml:space="preserve">8115 - Účelový zůstatek k 31. 12. </t>
  </si>
  <si>
    <t>8115 - Neúčelový zůstatek k 31. 12.</t>
  </si>
  <si>
    <t>8124 - Splátky úvěrů</t>
  </si>
  <si>
    <t>Financování - výdaje celkem (výdaje třída 8 bez pol. 8118)</t>
  </si>
  <si>
    <t>Celkem potřeby (výdaje + financování)</t>
  </si>
  <si>
    <t>8117/8118 - Aktivní krátkodobé operace řízení likvidity</t>
  </si>
  <si>
    <t>Transdev Slezsko, a.s. - provoz MHD</t>
  </si>
  <si>
    <t>Transdev Slezsko, a.s. - provoz MHD - ÚZ 161</t>
  </si>
  <si>
    <t>Hospic Frýdek-Místek, p. o. - ÚZ 00914</t>
  </si>
  <si>
    <t>Centrum pečovatelské služby Frýdek-Místek, p. o. - ÚZ 00914</t>
  </si>
  <si>
    <t>Domov pro seniory Frýdek-Místek, p. o. - ÚZ 00914</t>
  </si>
  <si>
    <t>ŽIRAFA - Integrované centrum Frýdek-Místek, p. o. - ÚZ 00914</t>
  </si>
  <si>
    <t>DP Podpora a rozvoj mládežnického sportu ve městě - viz doplňující příloha č. 2</t>
  </si>
  <si>
    <t>DP Podpora výchovy, vzdělávání a zájmových aktivit - viz doplňující příloha č. 3</t>
  </si>
  <si>
    <t xml:space="preserve">Nemocnice ve F-M, p.o. - na náklady spojené s proškolením žáků ZŠ na KPR </t>
  </si>
  <si>
    <t>Nemocnice ve F-M, p.o. - na náklady spojené s projektem Nebojme se zubaře pro žáky ZŠ</t>
  </si>
  <si>
    <t>Program Podpora výsadby dřevin - viz doplňující příloha č. 4</t>
  </si>
  <si>
    <t>viz dopl. příloha č. 4</t>
  </si>
  <si>
    <r>
      <t>DP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>Prevence kriminality a protidrogová politika - viz doplňující příloha č. 7</t>
    </r>
  </si>
  <si>
    <t>DP Podpora a rozvoj sociálních služeb ve městě - viz doplňující příloha č. 8</t>
  </si>
  <si>
    <t>DP Podpora a rozvoj činností v oblasti rodinné politiky - viz doplňující příloha č. 9</t>
  </si>
  <si>
    <t>DP Podpora a rozvoj ostatních aktivit navazujících na sociální služby - viz doplňující příloha č. 10</t>
  </si>
  <si>
    <t>DP Regenerace města Frýdku-Místku - viz doplňující příloha č. 11</t>
  </si>
  <si>
    <t>DP Regenerace objektů s historickou nebo historizující fasádou na území města Frýdek-Místek - viz doplňující příloha č. 12</t>
  </si>
  <si>
    <t>DP Reklama F-M - podpora zřízení či obnovy označení provozoven - viz doplňující příloha č. 13</t>
  </si>
  <si>
    <t>viz dopl. příloha č. 13</t>
  </si>
  <si>
    <t>DP Podpora napojení na vodohospodářskou infrastrukturu města - viz doplňující příloha č. 6</t>
  </si>
  <si>
    <t>Svazek obcí Olešná (dříve pod názvem Dobrovolný svazek obcí Olešná) - členský příspěvek</t>
  </si>
  <si>
    <t>Společnost pro symfonickou a komorní hudbu ve F-M, z.s. - akce a koncerty na území města F-M</t>
  </si>
  <si>
    <t>ZŠ a MŠ Chlebovice</t>
  </si>
  <si>
    <t>Sokolík FM z.s. - "Turistický pochod Lískovecká 10"</t>
  </si>
  <si>
    <t>Sportovní klub orientačního běhu FM z.s. - "Podzimní krajský žebříček v denním oreintačním běhu"</t>
  </si>
  <si>
    <t>SH ČMS - Okresní sdružení hasičů FM - "Závod hasičské všestrannosti a brannosti"</t>
  </si>
  <si>
    <t>sl. 6</t>
  </si>
  <si>
    <t>Rozpočtová opatření RM       č. 1 - 29                  (v tis. Kč)</t>
  </si>
  <si>
    <t>1. změna rozpočtu                    (v tis. Kč)</t>
  </si>
  <si>
    <t>Ostatní neinvestiční výdaje odboru právního a organizačního</t>
  </si>
  <si>
    <t>Rozpočtová opatření RM       č. 30 - 70                  (v tis. Kč)</t>
  </si>
  <si>
    <t>Sportplex Frýdek-Místek, s.r.o. - investiční dotace</t>
  </si>
  <si>
    <t xml:space="preserve">ORJ 01-Odbor právní a organizační </t>
  </si>
  <si>
    <t>Ostatní kapitálové výdaje odboru právního a organizačního</t>
  </si>
  <si>
    <t>Sportplex Frýdek-Místek, s.r.o. - neinvestiční dotace</t>
  </si>
  <si>
    <t>Rozpočet roku 2025            po 1. změně a po rozpočtových opatřeních RM                 č. 1 - 79                                (v tis. Kč)</t>
  </si>
  <si>
    <t>2. změna rozpočtu                         (v tis. Kč)</t>
  </si>
  <si>
    <t>Basketpoint Frýdek-Místek z. s. - na náklady spojené s účastí a spolupořadatelstvím v seriálu mezinárodních turnajů CEYBL</t>
  </si>
  <si>
    <t>Rozpočtová opatření RM       č. 80 - 121                   (v tis. Kč)</t>
  </si>
  <si>
    <t>x</t>
  </si>
  <si>
    <t xml:space="preserve">Gymnázium Cihelní - spolufinancování provozu sportoviště otevřeného pro veřejnost </t>
  </si>
  <si>
    <t>Basketpoint Frýdek-Místek z. s. - akce Junior Basketpoint League</t>
  </si>
  <si>
    <t>TJ Sokol Frýdek-Místek -akce Funky Beat MS v tanci v USA</t>
  </si>
  <si>
    <t>TJ Slezská - 2. ZŠ FM - "45. vánoční turnaj ve stolním tenise"</t>
  </si>
  <si>
    <t>MAS Pobeskydí, z.s.- Seminář pro ředitele škol a festival inspirace v přírodních vědách</t>
  </si>
  <si>
    <t>MAS Pobeskydí, z.s.- Místní akční plán Frýdek-Místek V</t>
  </si>
  <si>
    <t>1.1.2026 - 31.12.2026</t>
  </si>
  <si>
    <t>1.1.2026 - 31.12.2027</t>
  </si>
  <si>
    <t>Love production s.r.o. - Nová osmička 2026</t>
  </si>
  <si>
    <t>1.1.2026 - 30.11.2026</t>
  </si>
  <si>
    <t>Sdružení obrany spotřebitelů Moravy a Slezska</t>
  </si>
  <si>
    <t>Slezská diakonie, ARCHA Třinec</t>
  </si>
  <si>
    <t>Repette, z. s.</t>
  </si>
  <si>
    <t>Slezská diakonie, Housing First - podpora bydlení ve Slezské diakonii</t>
  </si>
  <si>
    <t>DP Revitalizace veřejných prostranství ve Frýdku-Místku - viz doplňující příloha č. 14</t>
  </si>
  <si>
    <t>Finanční dar na veřejnou sbírku "DARUJ F≈M - Věž kostela v Lískovci"</t>
  </si>
  <si>
    <t>Sokolík FM z.s. - "Fotbalový turnaj Liga Sokolíka"</t>
  </si>
  <si>
    <t>Sokolík FM z.s. - "Nohejbalový turnaj Sokolíka"</t>
  </si>
  <si>
    <t>Financování - aktivní krátkodobé operace řízení likvidity                           (pol. 8117 a 8118)</t>
  </si>
  <si>
    <t>1.1.2026 - 31.10.2026</t>
  </si>
  <si>
    <t>1.1.2026 - 30.6.2027</t>
  </si>
  <si>
    <t>1.1.2026 - 11.12.2026</t>
  </si>
  <si>
    <t>1.1.2026 - 28.2.2027</t>
  </si>
  <si>
    <t>1.1.2026 - 14.12.2026</t>
  </si>
  <si>
    <t>HZS Moravskoslezský kraj - investiční dotace na rekonstrukci a stav. úpravy vnitřních a venkovních prostor hasičské stanice ve Frýdku-Místku nebo k pořízení mobilní techniky</t>
  </si>
  <si>
    <t>Sportovní klub orientačního běhu FM z.s. -"Jarní krajský žebříček v nočním orientačním běhu"</t>
  </si>
  <si>
    <t>Financování - aktivní krátkodobé operace řízení likvidity celkem       (pol. 8117 a 8118)</t>
  </si>
  <si>
    <t>Projekt "Příspěvek na obědy v ZŠ ve FM" - příspěvek s vyúčtováním           z toho:    rezerva na obědy žáků s trvalým pobytem na území statutárního města Frýdek-Místek</t>
  </si>
  <si>
    <t>Neinvestiční výdaje hrazené z Fondu pomoci občanům dotčeným výstavbou komunikace R/48</t>
  </si>
  <si>
    <t>Schválený rozpočet              na rok 2026                         (v tis. Kč)</t>
  </si>
  <si>
    <t>Ztoho:</t>
  </si>
  <si>
    <t>Rozpočtová opatření RM            č. 1 - 2                             (v tis. Kč)</t>
  </si>
  <si>
    <t>sl 3.</t>
  </si>
  <si>
    <t>Rozpočet roku 2026 po rozpočtových opatřeních RM            č. 1 - 2                                 (v tis. Kč)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</si>
</sst>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i/>
      <sz val="10"/>
      <color indexed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81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4" fontId="4" fillId="0" borderId="8" xfId="0" applyNumberFormat="1" applyFont="1" applyBorder="1" applyAlignment="1">
      <alignment vertical="center"/>
    </xf>
    <xf numFmtId="0" fontId="4" fillId="0" borderId="9" xfId="0" applyFont="1" applyBorder="1" applyAlignment="1">
      <alignment vertical="center" wrapText="1"/>
    </xf>
    <xf numFmtId="4" fontId="4" fillId="0" borderId="10" xfId="0" applyNumberFormat="1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4" fontId="4" fillId="0" borderId="12" xfId="0" applyNumberFormat="1" applyFont="1" applyBorder="1" applyAlignment="1">
      <alignment vertical="center"/>
    </xf>
    <xf numFmtId="0" fontId="5" fillId="4" borderId="1" xfId="0" applyFont="1" applyFill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4" fontId="4" fillId="0" borderId="6" xfId="0" applyNumberFormat="1" applyFont="1" applyBorder="1" applyAlignment="1">
      <alignment vertical="center"/>
    </xf>
    <xf numFmtId="0" fontId="3" fillId="5" borderId="1" xfId="0" applyFont="1" applyFill="1" applyBorder="1" applyAlignment="1">
      <alignment vertical="center" wrapText="1"/>
    </xf>
    <xf numFmtId="4" fontId="4" fillId="5" borderId="3" xfId="0" applyNumberFormat="1" applyFont="1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6" fillId="0" borderId="9" xfId="0" applyFont="1" applyBorder="1" applyAlignment="1">
      <alignment vertical="center" wrapText="1"/>
    </xf>
    <xf numFmtId="0" fontId="5" fillId="6" borderId="1" xfId="0" applyFont="1" applyFill="1" applyBorder="1" applyAlignment="1">
      <alignment vertical="center" wrapText="1"/>
    </xf>
    <xf numFmtId="0" fontId="3" fillId="7" borderId="1" xfId="0" applyFont="1" applyFill="1" applyBorder="1" applyAlignment="1">
      <alignment horizontal="left" vertical="center" wrapText="1"/>
    </xf>
    <xf numFmtId="4" fontId="4" fillId="7" borderId="3" xfId="0" applyNumberFormat="1" applyFont="1" applyFill="1" applyBorder="1" applyAlignment="1">
      <alignment vertical="center"/>
    </xf>
    <xf numFmtId="0" fontId="7" fillId="8" borderId="1" xfId="0" applyFont="1" applyFill="1" applyBorder="1" applyAlignment="1">
      <alignment horizontal="left" vertical="center" wrapText="1"/>
    </xf>
    <xf numFmtId="4" fontId="3" fillId="8" borderId="3" xfId="0" applyNumberFormat="1" applyFont="1" applyFill="1" applyBorder="1" applyAlignment="1">
      <alignment vertical="center"/>
    </xf>
    <xf numFmtId="0" fontId="4" fillId="0" borderId="7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/>
    </xf>
    <xf numFmtId="0" fontId="3" fillId="8" borderId="3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/>
    </xf>
    <xf numFmtId="0" fontId="7" fillId="8" borderId="3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4" fillId="3" borderId="10" xfId="0" applyFont="1" applyFill="1" applyBorder="1" applyAlignment="1">
      <alignment horizontal="center" vertical="center"/>
    </xf>
    <xf numFmtId="0" fontId="4" fillId="0" borderId="9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7" fillId="8" borderId="1" xfId="0" applyFont="1" applyFill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13" xfId="0" applyFont="1" applyBorder="1" applyAlignment="1">
      <alignment vertical="center" wrapText="1"/>
    </xf>
    <xf numFmtId="0" fontId="4" fillId="3" borderId="9" xfId="0" applyFont="1" applyFill="1" applyBorder="1" applyAlignment="1">
      <alignment vertical="center" wrapText="1"/>
    </xf>
    <xf numFmtId="0" fontId="7" fillId="8" borderId="1" xfId="0" applyFont="1" applyFill="1" applyBorder="1" applyAlignment="1">
      <alignment vertical="center" wrapText="1"/>
    </xf>
    <xf numFmtId="0" fontId="3" fillId="7" borderId="1" xfId="0" applyFont="1" applyFill="1" applyBorder="1" applyAlignment="1">
      <alignment vertical="center"/>
    </xf>
    <xf numFmtId="0" fontId="3" fillId="7" borderId="3" xfId="0" applyFont="1" applyFill="1" applyBorder="1" applyAlignment="1">
      <alignment horizontal="center" vertical="center"/>
    </xf>
    <xf numFmtId="4" fontId="3" fillId="7" borderId="3" xfId="0" applyNumberFormat="1" applyFont="1" applyFill="1" applyBorder="1" applyAlignment="1">
      <alignment vertical="center"/>
    </xf>
    <xf numFmtId="0" fontId="4" fillId="5" borderId="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3" borderId="0" xfId="0" applyFill="1"/>
    <xf numFmtId="0" fontId="4" fillId="0" borderId="6" xfId="0" applyFont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vertical="center" wrapText="1"/>
    </xf>
    <xf numFmtId="0" fontId="0" fillId="0" borderId="18" xfId="0" applyBorder="1"/>
    <xf numFmtId="0" fontId="0" fillId="4" borderId="17" xfId="0" applyFill="1" applyBorder="1"/>
    <xf numFmtId="0" fontId="0" fillId="0" borderId="6" xfId="0" applyBorder="1"/>
    <xf numFmtId="0" fontId="0" fillId="4" borderId="3" xfId="0" applyFill="1" applyBorder="1"/>
    <xf numFmtId="4" fontId="4" fillId="0" borderId="10" xfId="0" applyNumberFormat="1" applyFont="1" applyBorder="1" applyAlignment="1">
      <alignment horizontal="right" vertical="center"/>
    </xf>
    <xf numFmtId="4" fontId="4" fillId="0" borderId="8" xfId="0" applyNumberFormat="1" applyFont="1" applyBorder="1" applyAlignment="1">
      <alignment horizontal="right" vertical="center"/>
    </xf>
    <xf numFmtId="4" fontId="4" fillId="0" borderId="19" xfId="0" applyNumberFormat="1" applyFont="1" applyBorder="1" applyAlignment="1">
      <alignment vertical="center"/>
    </xf>
    <xf numFmtId="4" fontId="5" fillId="4" borderId="3" xfId="0" applyNumberFormat="1" applyFont="1" applyFill="1" applyBorder="1" applyAlignment="1">
      <alignment vertical="center"/>
    </xf>
    <xf numFmtId="4" fontId="4" fillId="0" borderId="6" xfId="0" applyNumberFormat="1" applyFont="1" applyBorder="1" applyAlignment="1">
      <alignment horizontal="right" vertical="center"/>
    </xf>
    <xf numFmtId="4" fontId="3" fillId="5" borderId="3" xfId="0" applyNumberFormat="1" applyFont="1" applyFill="1" applyBorder="1" applyAlignment="1">
      <alignment vertical="center"/>
    </xf>
    <xf numFmtId="4" fontId="5" fillId="6" borderId="3" xfId="0" applyNumberFormat="1" applyFont="1" applyFill="1" applyBorder="1" applyAlignment="1">
      <alignment vertical="center"/>
    </xf>
    <xf numFmtId="4" fontId="4" fillId="0" borderId="12" xfId="0" applyNumberFormat="1" applyFont="1" applyBorder="1" applyAlignment="1">
      <alignment horizontal="right" vertical="center"/>
    </xf>
    <xf numFmtId="4" fontId="4" fillId="3" borderId="10" xfId="0" applyNumberFormat="1" applyFont="1" applyFill="1" applyBorder="1" applyAlignment="1">
      <alignment horizontal="right" vertical="center"/>
    </xf>
    <xf numFmtId="0" fontId="1" fillId="2" borderId="24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0" fillId="0" borderId="16" xfId="0" applyBorder="1"/>
    <xf numFmtId="0" fontId="0" fillId="4" borderId="15" xfId="0" applyFill="1" applyBorder="1"/>
    <xf numFmtId="4" fontId="4" fillId="0" borderId="18" xfId="0" applyNumberFormat="1" applyFont="1" applyBorder="1" applyAlignment="1">
      <alignment vertical="center"/>
    </xf>
    <xf numFmtId="4" fontId="5" fillId="5" borderId="3" xfId="0" applyNumberFormat="1" applyFont="1" applyFill="1" applyBorder="1" applyAlignment="1">
      <alignment horizontal="right" vertical="center"/>
    </xf>
    <xf numFmtId="4" fontId="3" fillId="5" borderId="3" xfId="0" applyNumberFormat="1" applyFont="1" applyFill="1" applyBorder="1" applyAlignment="1">
      <alignment horizontal="right" vertical="center"/>
    </xf>
    <xf numFmtId="4" fontId="5" fillId="6" borderId="3" xfId="0" applyNumberFormat="1" applyFont="1" applyFill="1" applyBorder="1" applyAlignment="1">
      <alignment horizontal="right" vertical="center"/>
    </xf>
    <xf numFmtId="0" fontId="5" fillId="7" borderId="1" xfId="0" applyFont="1" applyFill="1" applyBorder="1" applyAlignment="1">
      <alignment vertical="center"/>
    </xf>
    <xf numFmtId="0" fontId="5" fillId="7" borderId="3" xfId="0" applyFont="1" applyFill="1" applyBorder="1" applyAlignment="1">
      <alignment horizontal="center" vertical="center"/>
    </xf>
    <xf numFmtId="4" fontId="4" fillId="3" borderId="12" xfId="0" applyNumberFormat="1" applyFont="1" applyFill="1" applyBorder="1" applyAlignment="1">
      <alignment horizontal="right" vertical="center"/>
    </xf>
    <xf numFmtId="4" fontId="7" fillId="8" borderId="3" xfId="0" applyNumberFormat="1" applyFont="1" applyFill="1" applyBorder="1" applyAlignment="1">
      <alignment horizontal="right" vertical="center"/>
    </xf>
    <xf numFmtId="0" fontId="7" fillId="7" borderId="3" xfId="0" applyFont="1" applyFill="1" applyBorder="1" applyAlignment="1">
      <alignment horizontal="center" vertical="center"/>
    </xf>
    <xf numFmtId="4" fontId="4" fillId="0" borderId="25" xfId="0" applyNumberFormat="1" applyFont="1" applyBorder="1" applyAlignment="1">
      <alignment vertical="center"/>
    </xf>
    <xf numFmtId="4" fontId="4" fillId="0" borderId="26" xfId="0" applyNumberFormat="1" applyFont="1" applyBorder="1" applyAlignment="1">
      <alignment vertical="center"/>
    </xf>
    <xf numFmtId="4" fontId="6" fillId="0" borderId="8" xfId="0" applyNumberFormat="1" applyFont="1" applyBorder="1" applyAlignment="1">
      <alignment horizontal="right" vertical="center"/>
    </xf>
    <xf numFmtId="4" fontId="6" fillId="0" borderId="10" xfId="0" applyNumberFormat="1" applyFont="1" applyBorder="1" applyAlignment="1">
      <alignment horizontal="right" vertical="center"/>
    </xf>
    <xf numFmtId="4" fontId="6" fillId="0" borderId="8" xfId="0" applyNumberFormat="1" applyFont="1" applyBorder="1" applyAlignment="1">
      <alignment vertical="center"/>
    </xf>
    <xf numFmtId="4" fontId="6" fillId="0" borderId="10" xfId="0" applyNumberFormat="1" applyFont="1" applyBorder="1" applyAlignment="1">
      <alignment vertical="center"/>
    </xf>
    <xf numFmtId="0" fontId="13" fillId="8" borderId="1" xfId="0" applyFont="1" applyFill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2" fillId="2" borderId="17" xfId="0" applyFont="1" applyFill="1" applyBorder="1" applyAlignment="1">
      <alignment horizontal="center"/>
    </xf>
    <xf numFmtId="0" fontId="0" fillId="8" borderId="3" xfId="0" applyFill="1" applyBorder="1" applyAlignment="1">
      <alignment horizontal="center" vertical="center"/>
    </xf>
    <xf numFmtId="0" fontId="5" fillId="3" borderId="4" xfId="0" applyFont="1" applyFill="1" applyBorder="1" applyAlignment="1">
      <alignment vertical="center"/>
    </xf>
    <xf numFmtId="0" fontId="5" fillId="3" borderId="6" xfId="0" applyFont="1" applyFill="1" applyBorder="1" applyAlignment="1">
      <alignment horizontal="center" vertical="center"/>
    </xf>
    <xf numFmtId="4" fontId="4" fillId="3" borderId="6" xfId="0" applyNumberFormat="1" applyFont="1" applyFill="1" applyBorder="1" applyAlignment="1">
      <alignment horizontal="right" vertical="center"/>
    </xf>
    <xf numFmtId="4" fontId="4" fillId="7" borderId="17" xfId="0" applyNumberFormat="1" applyFont="1" applyFill="1" applyBorder="1" applyAlignment="1">
      <alignment vertical="center"/>
    </xf>
    <xf numFmtId="4" fontId="5" fillId="4" borderId="17" xfId="0" applyNumberFormat="1" applyFont="1" applyFill="1" applyBorder="1" applyAlignment="1">
      <alignment vertical="center"/>
    </xf>
    <xf numFmtId="4" fontId="3" fillId="5" borderId="17" xfId="0" applyNumberFormat="1" applyFont="1" applyFill="1" applyBorder="1" applyAlignment="1">
      <alignment vertical="center"/>
    </xf>
    <xf numFmtId="4" fontId="4" fillId="5" borderId="17" xfId="0" applyNumberFormat="1" applyFont="1" applyFill="1" applyBorder="1" applyAlignment="1">
      <alignment vertical="center"/>
    </xf>
    <xf numFmtId="4" fontId="5" fillId="6" borderId="17" xfId="0" applyNumberFormat="1" applyFont="1" applyFill="1" applyBorder="1" applyAlignment="1">
      <alignment vertical="center"/>
    </xf>
    <xf numFmtId="0" fontId="7" fillId="8" borderId="27" xfId="0" applyFont="1" applyFill="1" applyBorder="1" applyAlignment="1">
      <alignment vertical="center" wrapText="1"/>
    </xf>
    <xf numFmtId="0" fontId="3" fillId="7" borderId="27" xfId="0" applyFont="1" applyFill="1" applyBorder="1" applyAlignment="1">
      <alignment vertical="center"/>
    </xf>
    <xf numFmtId="4" fontId="4" fillId="0" borderId="29" xfId="0" applyNumberFormat="1" applyFont="1" applyBorder="1" applyAlignment="1">
      <alignment vertical="center"/>
    </xf>
    <xf numFmtId="0" fontId="1" fillId="2" borderId="30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/>
    </xf>
    <xf numFmtId="0" fontId="0" fillId="4" borderId="31" xfId="0" applyFill="1" applyBorder="1"/>
    <xf numFmtId="4" fontId="5" fillId="4" borderId="31" xfId="0" applyNumberFormat="1" applyFont="1" applyFill="1" applyBorder="1" applyAlignment="1">
      <alignment vertical="center"/>
    </xf>
    <xf numFmtId="4" fontId="4" fillId="5" borderId="31" xfId="0" applyNumberFormat="1" applyFont="1" applyFill="1" applyBorder="1" applyAlignment="1">
      <alignment vertical="center"/>
    </xf>
    <xf numFmtId="4" fontId="3" fillId="5" borderId="31" xfId="0" applyNumberFormat="1" applyFont="1" applyFill="1" applyBorder="1" applyAlignment="1">
      <alignment vertical="center"/>
    </xf>
    <xf numFmtId="4" fontId="5" fillId="6" borderId="31" xfId="0" applyNumberFormat="1" applyFont="1" applyFill="1" applyBorder="1" applyAlignment="1">
      <alignment vertical="center"/>
    </xf>
    <xf numFmtId="4" fontId="4" fillId="7" borderId="31" xfId="0" applyNumberFormat="1" applyFont="1" applyFill="1" applyBorder="1" applyAlignment="1">
      <alignment vertical="center"/>
    </xf>
    <xf numFmtId="4" fontId="4" fillId="0" borderId="28" xfId="0" applyNumberFormat="1" applyFont="1" applyBorder="1" applyAlignment="1">
      <alignment vertical="center"/>
    </xf>
    <xf numFmtId="4" fontId="3" fillId="8" borderId="31" xfId="0" applyNumberFormat="1" applyFont="1" applyFill="1" applyBorder="1" applyAlignment="1">
      <alignment vertical="center"/>
    </xf>
    <xf numFmtId="4" fontId="4" fillId="0" borderId="32" xfId="0" applyNumberFormat="1" applyFont="1" applyBorder="1" applyAlignment="1">
      <alignment vertical="center"/>
    </xf>
    <xf numFmtId="4" fontId="3" fillId="7" borderId="31" xfId="0" applyNumberFormat="1" applyFont="1" applyFill="1" applyBorder="1" applyAlignment="1">
      <alignment vertical="center"/>
    </xf>
    <xf numFmtId="4" fontId="7" fillId="8" borderId="3" xfId="0" applyNumberFormat="1" applyFont="1" applyFill="1" applyBorder="1" applyAlignment="1">
      <alignment vertical="center"/>
    </xf>
    <xf numFmtId="4" fontId="7" fillId="8" borderId="31" xfId="0" applyNumberFormat="1" applyFont="1" applyFill="1" applyBorder="1" applyAlignment="1">
      <alignment vertical="center"/>
    </xf>
    <xf numFmtId="0" fontId="3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4" fillId="7" borderId="3" xfId="0" applyFont="1" applyFill="1" applyBorder="1" applyAlignment="1">
      <alignment horizontal="center" vertical="center"/>
    </xf>
    <xf numFmtId="0" fontId="0" fillId="8" borderId="3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4" fillId="3" borderId="25" xfId="0" applyFont="1" applyFill="1" applyBorder="1" applyAlignment="1">
      <alignment horizontal="center" vertical="center"/>
    </xf>
    <xf numFmtId="0" fontId="4" fillId="0" borderId="14" xfId="0" applyFont="1" applyBorder="1" applyAlignment="1">
      <alignment vertical="center" wrapText="1"/>
    </xf>
    <xf numFmtId="0" fontId="4" fillId="0" borderId="33" xfId="0" applyFont="1" applyBorder="1" applyAlignment="1">
      <alignment vertical="center"/>
    </xf>
    <xf numFmtId="4" fontId="3" fillId="8" borderId="3" xfId="0" applyNumberFormat="1" applyFont="1" applyFill="1" applyBorder="1" applyAlignment="1">
      <alignment horizontal="right" vertical="center"/>
    </xf>
    <xf numFmtId="4" fontId="12" fillId="8" borderId="3" xfId="0" applyNumberFormat="1" applyFont="1" applyFill="1" applyBorder="1" applyAlignment="1">
      <alignment horizontal="right" vertical="center"/>
    </xf>
    <xf numFmtId="0" fontId="7" fillId="8" borderId="35" xfId="0" applyFont="1" applyFill="1" applyBorder="1" applyAlignment="1">
      <alignment horizontal="center" vertical="center"/>
    </xf>
    <xf numFmtId="4" fontId="3" fillId="8" borderId="35" xfId="0" applyNumberFormat="1" applyFont="1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4" fontId="4" fillId="0" borderId="38" xfId="0" applyNumberFormat="1" applyFont="1" applyBorder="1" applyAlignment="1">
      <alignment vertical="center"/>
    </xf>
    <xf numFmtId="0" fontId="4" fillId="0" borderId="39" xfId="0" applyFont="1" applyBorder="1" applyAlignment="1">
      <alignment vertical="center" wrapText="1"/>
    </xf>
    <xf numFmtId="0" fontId="4" fillId="3" borderId="38" xfId="0" applyFont="1" applyFill="1" applyBorder="1" applyAlignment="1">
      <alignment horizontal="center" vertical="center"/>
    </xf>
    <xf numFmtId="4" fontId="4" fillId="0" borderId="40" xfId="0" applyNumberFormat="1" applyFont="1" applyBorder="1" applyAlignment="1">
      <alignment vertical="center"/>
    </xf>
    <xf numFmtId="4" fontId="4" fillId="0" borderId="41" xfId="0" applyNumberFormat="1" applyFont="1" applyBorder="1" applyAlignment="1">
      <alignment vertical="center"/>
    </xf>
    <xf numFmtId="0" fontId="0" fillId="3" borderId="10" xfId="0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4" fontId="0" fillId="0" borderId="0" xfId="0" applyNumberFormat="1"/>
    <xf numFmtId="0" fontId="4" fillId="3" borderId="26" xfId="0" applyFont="1" applyFill="1" applyBorder="1" applyAlignment="1">
      <alignment horizontal="center" vertical="center"/>
    </xf>
    <xf numFmtId="4" fontId="6" fillId="3" borderId="8" xfId="0" applyNumberFormat="1" applyFont="1" applyFill="1" applyBorder="1" applyAlignment="1">
      <alignment vertical="center"/>
    </xf>
    <xf numFmtId="4" fontId="6" fillId="3" borderId="6" xfId="0" applyNumberFormat="1" applyFont="1" applyFill="1" applyBorder="1" applyAlignment="1">
      <alignment vertical="center"/>
    </xf>
    <xf numFmtId="0" fontId="6" fillId="0" borderId="11" xfId="0" applyFont="1" applyBorder="1" applyAlignment="1">
      <alignment vertical="center" wrapText="1"/>
    </xf>
    <xf numFmtId="4" fontId="6" fillId="0" borderId="6" xfId="0" applyNumberFormat="1" applyFont="1" applyBorder="1" applyAlignment="1">
      <alignment vertical="center"/>
    </xf>
    <xf numFmtId="4" fontId="4" fillId="0" borderId="18" xfId="0" applyNumberFormat="1" applyFont="1" applyBorder="1" applyAlignment="1">
      <alignment horizontal="right" vertical="center"/>
    </xf>
    <xf numFmtId="4" fontId="3" fillId="5" borderId="17" xfId="0" applyNumberFormat="1" applyFont="1" applyFill="1" applyBorder="1" applyAlignment="1">
      <alignment horizontal="right" vertical="center"/>
    </xf>
    <xf numFmtId="4" fontId="4" fillId="0" borderId="3" xfId="0" applyNumberFormat="1" applyFont="1" applyBorder="1" applyAlignment="1">
      <alignment vertical="center"/>
    </xf>
    <xf numFmtId="4" fontId="4" fillId="0" borderId="31" xfId="0" applyNumberFormat="1" applyFont="1" applyBorder="1" applyAlignment="1">
      <alignment vertical="center"/>
    </xf>
    <xf numFmtId="4" fontId="4" fillId="0" borderId="17" xfId="0" applyNumberFormat="1" applyFont="1" applyBorder="1" applyAlignment="1">
      <alignment vertical="center"/>
    </xf>
    <xf numFmtId="0" fontId="5" fillId="3" borderId="1" xfId="0" applyFont="1" applyFill="1" applyBorder="1" applyAlignment="1">
      <alignment vertical="center" wrapText="1"/>
    </xf>
    <xf numFmtId="0" fontId="5" fillId="3" borderId="3" xfId="0" applyFont="1" applyFill="1" applyBorder="1" applyAlignment="1">
      <alignment horizontal="center" vertical="center"/>
    </xf>
    <xf numFmtId="4" fontId="5" fillId="3" borderId="3" xfId="0" applyNumberFormat="1" applyFont="1" applyFill="1" applyBorder="1" applyAlignment="1">
      <alignment horizontal="right" vertical="center"/>
    </xf>
    <xf numFmtId="0" fontId="6" fillId="3" borderId="10" xfId="0" applyFont="1" applyFill="1" applyBorder="1" applyAlignment="1">
      <alignment horizontal="center" vertical="center"/>
    </xf>
    <xf numFmtId="4" fontId="4" fillId="3" borderId="10" xfId="0" applyNumberFormat="1" applyFont="1" applyFill="1" applyBorder="1" applyAlignment="1">
      <alignment horizontal="center" vertical="center"/>
    </xf>
    <xf numFmtId="0" fontId="4" fillId="0" borderId="42" xfId="0" applyFont="1" applyBorder="1" applyAlignment="1">
      <alignment vertical="center" wrapText="1"/>
    </xf>
    <xf numFmtId="0" fontId="4" fillId="3" borderId="43" xfId="0" applyFont="1" applyFill="1" applyBorder="1" applyAlignment="1">
      <alignment horizontal="center" vertical="center"/>
    </xf>
    <xf numFmtId="4" fontId="4" fillId="0" borderId="44" xfId="0" applyNumberFormat="1" applyFont="1" applyBorder="1" applyAlignment="1">
      <alignment vertical="center"/>
    </xf>
    <xf numFmtId="4" fontId="4" fillId="0" borderId="45" xfId="0" applyNumberFormat="1" applyFont="1" applyBorder="1" applyAlignment="1">
      <alignment vertical="center"/>
    </xf>
    <xf numFmtId="4" fontId="4" fillId="0" borderId="43" xfId="0" applyNumberFormat="1" applyFont="1" applyBorder="1" applyAlignment="1">
      <alignment vertical="center"/>
    </xf>
    <xf numFmtId="4" fontId="12" fillId="8" borderId="3" xfId="0" applyNumberFormat="1" applyFont="1" applyFill="1" applyBorder="1" applyAlignment="1">
      <alignment vertical="center"/>
    </xf>
    <xf numFmtId="0" fontId="4" fillId="0" borderId="11" xfId="0" applyFont="1" applyBorder="1" applyAlignment="1">
      <alignment vertical="top" wrapText="1"/>
    </xf>
    <xf numFmtId="4" fontId="4" fillId="0" borderId="12" xfId="0" applyNumberFormat="1" applyFont="1" applyBorder="1" applyAlignment="1">
      <alignment horizontal="right" vertical="top"/>
    </xf>
    <xf numFmtId="4" fontId="3" fillId="5" borderId="37" xfId="0" applyNumberFormat="1" applyFont="1" applyFill="1" applyBorder="1" applyAlignment="1">
      <alignment vertical="center"/>
    </xf>
    <xf numFmtId="0" fontId="7" fillId="8" borderId="34" xfId="0" applyFont="1" applyFill="1" applyBorder="1" applyAlignment="1">
      <alignment horizontal="left" vertical="center" wrapText="1"/>
    </xf>
    <xf numFmtId="4" fontId="3" fillId="8" borderId="19" xfId="0" applyNumberFormat="1" applyFont="1" applyFill="1" applyBorder="1" applyAlignment="1">
      <alignment vertical="center"/>
    </xf>
    <xf numFmtId="4" fontId="3" fillId="8" borderId="2" xfId="0" applyNumberFormat="1" applyFont="1" applyFill="1" applyBorder="1" applyAlignment="1">
      <alignment vertical="center"/>
    </xf>
    <xf numFmtId="4" fontId="3" fillId="8" borderId="17" xfId="0" applyNumberFormat="1" applyFont="1" applyFill="1" applyBorder="1" applyAlignment="1">
      <alignment vertical="center"/>
    </xf>
    <xf numFmtId="4" fontId="7" fillId="8" borderId="35" xfId="0" applyNumberFormat="1" applyFont="1" applyFill="1" applyBorder="1" applyAlignment="1">
      <alignment vertical="center"/>
    </xf>
    <xf numFmtId="4" fontId="7" fillId="8" borderId="36" xfId="0" applyNumberFormat="1" applyFont="1" applyFill="1" applyBorder="1" applyAlignment="1">
      <alignment vertical="center"/>
    </xf>
    <xf numFmtId="4" fontId="4" fillId="0" borderId="46" xfId="0" applyNumberFormat="1" applyFont="1" applyBorder="1" applyAlignment="1">
      <alignment vertical="center"/>
    </xf>
    <xf numFmtId="4" fontId="4" fillId="0" borderId="0" xfId="0" applyNumberFormat="1" applyFont="1" applyAlignment="1">
      <alignment vertical="center"/>
    </xf>
    <xf numFmtId="0" fontId="4" fillId="3" borderId="44" xfId="0" applyFont="1" applyFill="1" applyBorder="1" applyAlignment="1">
      <alignment horizontal="center" vertical="center"/>
    </xf>
    <xf numFmtId="4" fontId="4" fillId="0" borderId="47" xfId="0" applyNumberFormat="1" applyFont="1" applyBorder="1" applyAlignment="1">
      <alignment vertical="center"/>
    </xf>
    <xf numFmtId="4" fontId="3" fillId="7" borderId="17" xfId="0" applyNumberFormat="1" applyFont="1" applyFill="1" applyBorder="1" applyAlignment="1">
      <alignment vertical="center"/>
    </xf>
    <xf numFmtId="0" fontId="3" fillId="3" borderId="48" xfId="0" applyFont="1" applyFill="1" applyBorder="1" applyAlignment="1">
      <alignment vertical="center"/>
    </xf>
    <xf numFmtId="0" fontId="3" fillId="3" borderId="6" xfId="0" applyFont="1" applyFill="1" applyBorder="1" applyAlignment="1">
      <alignment horizontal="center" vertical="center"/>
    </xf>
    <xf numFmtId="4" fontId="5" fillId="6" borderId="37" xfId="0" applyNumberFormat="1" applyFont="1" applyFill="1" applyBorder="1" applyAlignment="1">
      <alignment vertical="center"/>
    </xf>
    <xf numFmtId="4" fontId="3" fillId="8" borderId="49" xfId="0" applyNumberFormat="1" applyFont="1" applyFill="1" applyBorder="1" applyAlignment="1">
      <alignment vertical="center"/>
    </xf>
    <xf numFmtId="4" fontId="4" fillId="0" borderId="50" xfId="0" applyNumberFormat="1" applyFont="1" applyBorder="1" applyAlignment="1">
      <alignment vertical="center"/>
    </xf>
    <xf numFmtId="4" fontId="4" fillId="0" borderId="51" xfId="0" applyNumberFormat="1" applyFon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6E5AE5-CE95-469F-969B-928B635BFF1B}">
  <dimension ref="A1:M306"/>
  <sheetViews>
    <sheetView tabSelected="1" view="pageLayout" topLeftCell="A286" zoomScale="110" zoomScaleNormal="100" zoomScalePageLayoutView="110" workbookViewId="0">
      <selection activeCell="A44" sqref="A44"/>
    </sheetView>
  </sheetViews>
  <sheetFormatPr defaultColWidth="9.125" defaultRowHeight="14.3" x14ac:dyDescent="0.25"/>
  <cols>
    <col min="1" max="1" width="57.625" customWidth="1"/>
    <col min="2" max="2" width="15.875" style="122" customWidth="1"/>
    <col min="3" max="3" width="10.625" hidden="1" customWidth="1"/>
    <col min="4" max="4" width="11.375" hidden="1" customWidth="1"/>
    <col min="5" max="5" width="0.125" hidden="1" customWidth="1"/>
    <col min="6" max="6" width="13.25" hidden="1" customWidth="1"/>
    <col min="7" max="7" width="10.625" hidden="1" customWidth="1"/>
    <col min="8" max="8" width="0.375" hidden="1" customWidth="1"/>
    <col min="9" max="9" width="13" customWidth="1"/>
    <col min="10" max="10" width="12.25" customWidth="1"/>
    <col min="11" max="11" width="13.25" customWidth="1"/>
    <col min="13" max="13" width="10.875" bestFit="1" customWidth="1"/>
  </cols>
  <sheetData>
    <row r="1" spans="1:11" ht="72" customHeight="1" thickBot="1" x14ac:dyDescent="0.3">
      <c r="A1" s="67" t="s">
        <v>0</v>
      </c>
      <c r="B1" s="68" t="s">
        <v>1</v>
      </c>
      <c r="C1" s="70" t="s">
        <v>231</v>
      </c>
      <c r="D1" s="69" t="s">
        <v>232</v>
      </c>
      <c r="E1" s="69" t="s">
        <v>234</v>
      </c>
      <c r="F1" s="104" t="s">
        <v>239</v>
      </c>
      <c r="G1" s="69" t="s">
        <v>240</v>
      </c>
      <c r="H1" s="69" t="s">
        <v>242</v>
      </c>
      <c r="I1" s="69" t="s">
        <v>273</v>
      </c>
      <c r="J1" s="69" t="s">
        <v>275</v>
      </c>
      <c r="K1" s="66" t="s">
        <v>277</v>
      </c>
    </row>
    <row r="2" spans="1:11" ht="13.75" customHeight="1" thickBot="1" x14ac:dyDescent="0.3">
      <c r="A2" s="1" t="s">
        <v>2</v>
      </c>
      <c r="B2" s="2" t="s">
        <v>3</v>
      </c>
      <c r="C2" s="3" t="s">
        <v>4</v>
      </c>
      <c r="D2" s="3" t="s">
        <v>5</v>
      </c>
      <c r="E2" s="3" t="s">
        <v>230</v>
      </c>
      <c r="F2" s="105" t="s">
        <v>4</v>
      </c>
      <c r="G2" s="3" t="s">
        <v>5</v>
      </c>
      <c r="H2" s="3" t="s">
        <v>230</v>
      </c>
      <c r="I2" s="3" t="s">
        <v>276</v>
      </c>
      <c r="J2" s="3" t="s">
        <v>4</v>
      </c>
      <c r="K2" s="91" t="s">
        <v>5</v>
      </c>
    </row>
    <row r="3" spans="1:11" ht="9.6999999999999993" customHeight="1" thickBot="1" x14ac:dyDescent="0.3">
      <c r="A3" s="4"/>
      <c r="B3" s="5"/>
      <c r="C3" s="71"/>
      <c r="D3" s="55"/>
      <c r="E3" s="55"/>
      <c r="G3" s="55"/>
      <c r="H3" s="55"/>
      <c r="I3" s="55"/>
      <c r="J3" s="55"/>
      <c r="K3" s="53"/>
    </row>
    <row r="4" spans="1:11" ht="16.5" customHeight="1" thickBot="1" x14ac:dyDescent="0.3">
      <c r="A4" s="6" t="s">
        <v>6</v>
      </c>
      <c r="B4" s="118"/>
      <c r="C4" s="72"/>
      <c r="D4" s="56"/>
      <c r="E4" s="56"/>
      <c r="F4" s="106"/>
      <c r="G4" s="56"/>
      <c r="H4" s="56"/>
      <c r="I4" s="56"/>
      <c r="J4" s="56"/>
      <c r="K4" s="54"/>
    </row>
    <row r="5" spans="1:11" ht="14.95" customHeight="1" x14ac:dyDescent="0.25">
      <c r="A5" s="7" t="s">
        <v>7</v>
      </c>
      <c r="B5" s="29"/>
      <c r="C5" s="8">
        <v>0</v>
      </c>
      <c r="D5" s="8">
        <v>19763.5</v>
      </c>
      <c r="E5" s="8">
        <v>0</v>
      </c>
      <c r="F5" s="103">
        <f>SUM(C5:E5)</f>
        <v>19763.5</v>
      </c>
      <c r="G5" s="8">
        <v>0</v>
      </c>
      <c r="H5" s="8">
        <v>0</v>
      </c>
      <c r="I5" s="8">
        <v>1506203</v>
      </c>
      <c r="J5" s="8">
        <v>0</v>
      </c>
      <c r="K5" s="59">
        <f>SUM(I5:J5)</f>
        <v>1506203</v>
      </c>
    </row>
    <row r="6" spans="1:11" ht="14.95" customHeight="1" x14ac:dyDescent="0.25">
      <c r="A6" s="7" t="s">
        <v>8</v>
      </c>
      <c r="B6" s="29"/>
      <c r="C6" s="10">
        <f>475.74+167.01+1065.77</f>
        <v>1708.52</v>
      </c>
      <c r="D6" s="10">
        <v>-789.78</v>
      </c>
      <c r="E6" s="8">
        <f>57.17+67.31+329.6+44.57+79.79</f>
        <v>578.44000000000005</v>
      </c>
      <c r="F6" s="103">
        <f>SUM(C6:E6)+199.95</f>
        <v>1697.13</v>
      </c>
      <c r="G6" s="8">
        <v>18674.34</v>
      </c>
      <c r="H6" s="8">
        <f>115.82+36.42+353.45</f>
        <v>505.69</v>
      </c>
      <c r="I6" s="8">
        <v>261941</v>
      </c>
      <c r="J6" s="8">
        <v>0</v>
      </c>
      <c r="K6" s="59">
        <f t="shared" ref="K6:K52" si="0">SUM(I6:J6)</f>
        <v>261941</v>
      </c>
    </row>
    <row r="7" spans="1:11" ht="14.95" customHeight="1" x14ac:dyDescent="0.25">
      <c r="A7" s="9" t="s">
        <v>9</v>
      </c>
      <c r="B7" s="31"/>
      <c r="C7" s="10">
        <v>0</v>
      </c>
      <c r="D7" s="10">
        <v>0</v>
      </c>
      <c r="E7" s="8">
        <v>0</v>
      </c>
      <c r="F7" s="103">
        <f>SUM(C7:E7)</f>
        <v>0</v>
      </c>
      <c r="G7" s="8">
        <v>883</v>
      </c>
      <c r="H7" s="8">
        <v>0</v>
      </c>
      <c r="I7" s="8">
        <v>10620</v>
      </c>
      <c r="J7" s="8">
        <v>0</v>
      </c>
      <c r="K7" s="59">
        <f t="shared" si="0"/>
        <v>10620</v>
      </c>
    </row>
    <row r="8" spans="1:11" ht="14.95" customHeight="1" thickBot="1" x14ac:dyDescent="0.3">
      <c r="A8" s="11" t="s">
        <v>10</v>
      </c>
      <c r="B8" s="27"/>
      <c r="C8" s="12">
        <f>7933.14</f>
        <v>7933.14</v>
      </c>
      <c r="D8" s="12">
        <v>-8922</v>
      </c>
      <c r="E8" s="15">
        <f>6072.39+9267.92+2163.34</f>
        <v>17503.650000000001</v>
      </c>
      <c r="F8" s="171">
        <f>SUM(C8:E8)</f>
        <v>16514.79</v>
      </c>
      <c r="G8" s="15">
        <v>16983.009999999998</v>
      </c>
      <c r="H8" s="15">
        <f>1597.69+1263.7+4272.07</f>
        <v>7133.46</v>
      </c>
      <c r="I8" s="15">
        <v>276459.18</v>
      </c>
      <c r="J8" s="15">
        <v>0</v>
      </c>
      <c r="K8" s="73">
        <f t="shared" si="0"/>
        <v>276459.18</v>
      </c>
    </row>
    <row r="9" spans="1:11" ht="16.5" customHeight="1" thickBot="1" x14ac:dyDescent="0.3">
      <c r="A9" s="13" t="s">
        <v>11</v>
      </c>
      <c r="B9" s="119"/>
      <c r="C9" s="60">
        <f t="shared" ref="C9:G9" si="1">SUM(C5:C8)</f>
        <v>9641.66</v>
      </c>
      <c r="D9" s="60">
        <f t="shared" si="1"/>
        <v>10051.720000000001</v>
      </c>
      <c r="E9" s="60">
        <f t="shared" si="1"/>
        <v>18082.09</v>
      </c>
      <c r="F9" s="107">
        <f t="shared" si="1"/>
        <v>37975.42</v>
      </c>
      <c r="G9" s="60">
        <f t="shared" si="1"/>
        <v>36540.35</v>
      </c>
      <c r="H9" s="60">
        <f>SUM(H5:H8)</f>
        <v>7639.15</v>
      </c>
      <c r="I9" s="60">
        <f>SUM(I5:I8)</f>
        <v>2055223.18</v>
      </c>
      <c r="J9" s="60">
        <f>SUM(J5:J8)</f>
        <v>0</v>
      </c>
      <c r="K9" s="97">
        <f>SUM(I9:J9)</f>
        <v>2055223.18</v>
      </c>
    </row>
    <row r="10" spans="1:11" ht="12.75" customHeight="1" thickBot="1" x14ac:dyDescent="0.3">
      <c r="A10" s="14"/>
      <c r="B10" s="50"/>
      <c r="C10" s="15"/>
      <c r="D10" s="15"/>
      <c r="E10" s="15"/>
      <c r="F10" s="171"/>
      <c r="G10" s="15"/>
      <c r="H10" s="15"/>
      <c r="I10" s="15"/>
      <c r="J10" s="15"/>
      <c r="K10" s="73"/>
    </row>
    <row r="11" spans="1:11" ht="14.95" customHeight="1" thickBot="1" x14ac:dyDescent="0.3">
      <c r="A11" s="16" t="s">
        <v>12</v>
      </c>
      <c r="B11" s="46"/>
      <c r="C11" s="17"/>
      <c r="D11" s="17"/>
      <c r="E11" s="17"/>
      <c r="F11" s="108"/>
      <c r="G11" s="17"/>
      <c r="H11" s="17"/>
      <c r="I11" s="17"/>
      <c r="J11" s="17"/>
      <c r="K11" s="99"/>
    </row>
    <row r="12" spans="1:11" ht="14.95" customHeight="1" x14ac:dyDescent="0.25">
      <c r="A12" s="7" t="s">
        <v>13</v>
      </c>
      <c r="B12" s="29"/>
      <c r="C12" s="8">
        <f>24.46+483.3+178.41</f>
        <v>686.17</v>
      </c>
      <c r="D12" s="8">
        <v>88366.47</v>
      </c>
      <c r="E12" s="8">
        <v>0</v>
      </c>
      <c r="F12" s="103">
        <f t="shared" ref="F12:F19" si="2">SUM(C12:E12)</f>
        <v>89052.64</v>
      </c>
      <c r="G12" s="8">
        <v>0</v>
      </c>
      <c r="H12" s="8">
        <v>0</v>
      </c>
      <c r="I12" s="8">
        <v>417499.09</v>
      </c>
      <c r="J12" s="8">
        <v>0</v>
      </c>
      <c r="K12" s="59">
        <f>SUM(I12:J12)</f>
        <v>417499.09</v>
      </c>
    </row>
    <row r="13" spans="1:11" ht="14.95" customHeight="1" x14ac:dyDescent="0.25">
      <c r="A13" s="9" t="s">
        <v>14</v>
      </c>
      <c r="B13" s="31"/>
      <c r="C13" s="10">
        <v>0</v>
      </c>
      <c r="D13" s="10">
        <v>139247.65</v>
      </c>
      <c r="E13" s="8">
        <v>0</v>
      </c>
      <c r="F13" s="103">
        <f t="shared" si="2"/>
        <v>139247.65</v>
      </c>
      <c r="G13" s="8">
        <v>0</v>
      </c>
      <c r="H13" s="8">
        <v>0</v>
      </c>
      <c r="I13" s="8">
        <v>33444.199999999997</v>
      </c>
      <c r="J13" s="8">
        <v>0</v>
      </c>
      <c r="K13" s="59">
        <f t="shared" si="0"/>
        <v>33444.199999999997</v>
      </c>
    </row>
    <row r="14" spans="1:11" ht="14.95" customHeight="1" x14ac:dyDescent="0.25">
      <c r="A14" s="9" t="s">
        <v>15</v>
      </c>
      <c r="B14" s="31"/>
      <c r="C14" s="10">
        <v>0</v>
      </c>
      <c r="D14" s="10">
        <v>0</v>
      </c>
      <c r="E14" s="8">
        <v>0</v>
      </c>
      <c r="F14" s="103">
        <f t="shared" si="2"/>
        <v>0</v>
      </c>
      <c r="G14" s="8">
        <v>0</v>
      </c>
      <c r="H14" s="8">
        <v>0</v>
      </c>
      <c r="I14" s="8">
        <v>15262</v>
      </c>
      <c r="J14" s="8">
        <v>0</v>
      </c>
      <c r="K14" s="59">
        <f t="shared" si="0"/>
        <v>15262</v>
      </c>
    </row>
    <row r="15" spans="1:11" ht="27" customHeight="1" x14ac:dyDescent="0.25">
      <c r="A15" s="9" t="s">
        <v>16</v>
      </c>
      <c r="B15" s="31"/>
      <c r="C15" s="10">
        <v>0</v>
      </c>
      <c r="D15" s="10">
        <v>-930</v>
      </c>
      <c r="E15" s="8">
        <v>0</v>
      </c>
      <c r="F15" s="103">
        <f t="shared" si="2"/>
        <v>-930</v>
      </c>
      <c r="G15" s="8">
        <v>0</v>
      </c>
      <c r="H15" s="8">
        <v>0</v>
      </c>
      <c r="I15" s="8">
        <v>0</v>
      </c>
      <c r="J15" s="8">
        <v>0</v>
      </c>
      <c r="K15" s="59">
        <f t="shared" si="0"/>
        <v>0</v>
      </c>
    </row>
    <row r="16" spans="1:11" ht="14.95" customHeight="1" x14ac:dyDescent="0.25">
      <c r="A16" s="9" t="s">
        <v>17</v>
      </c>
      <c r="B16" s="31"/>
      <c r="C16" s="57">
        <v>0</v>
      </c>
      <c r="D16" s="57">
        <v>0</v>
      </c>
      <c r="E16" s="58">
        <v>0</v>
      </c>
      <c r="F16" s="103">
        <f t="shared" si="2"/>
        <v>0</v>
      </c>
      <c r="G16" s="8">
        <v>0</v>
      </c>
      <c r="H16" s="8">
        <v>0</v>
      </c>
      <c r="I16" s="8">
        <v>0</v>
      </c>
      <c r="J16" s="8">
        <v>0</v>
      </c>
      <c r="K16" s="59">
        <f t="shared" si="0"/>
        <v>0</v>
      </c>
    </row>
    <row r="17" spans="1:11" ht="14.95" customHeight="1" x14ac:dyDescent="0.25">
      <c r="A17" s="9" t="s">
        <v>18</v>
      </c>
      <c r="B17" s="31"/>
      <c r="C17" s="10">
        <v>0</v>
      </c>
      <c r="D17" s="10">
        <v>0</v>
      </c>
      <c r="E17" s="8">
        <v>0</v>
      </c>
      <c r="F17" s="103">
        <f t="shared" si="2"/>
        <v>0</v>
      </c>
      <c r="G17" s="8">
        <v>0</v>
      </c>
      <c r="H17" s="8">
        <v>0</v>
      </c>
      <c r="I17" s="8">
        <v>3000</v>
      </c>
      <c r="J17" s="8">
        <v>0</v>
      </c>
      <c r="K17" s="59">
        <f t="shared" si="0"/>
        <v>3000</v>
      </c>
    </row>
    <row r="18" spans="1:11" ht="14.95" customHeight="1" x14ac:dyDescent="0.25">
      <c r="A18" s="19" t="s">
        <v>19</v>
      </c>
      <c r="B18" s="31"/>
      <c r="C18" s="57">
        <v>0</v>
      </c>
      <c r="D18" s="57">
        <v>0</v>
      </c>
      <c r="E18" s="58">
        <v>0</v>
      </c>
      <c r="F18" s="103">
        <f t="shared" si="2"/>
        <v>0</v>
      </c>
      <c r="G18" s="8">
        <v>0</v>
      </c>
      <c r="H18" s="8">
        <v>0</v>
      </c>
      <c r="I18" s="8">
        <v>0</v>
      </c>
      <c r="J18" s="8">
        <v>0</v>
      </c>
      <c r="K18" s="59">
        <f t="shared" si="0"/>
        <v>0</v>
      </c>
    </row>
    <row r="19" spans="1:11" ht="14.95" customHeight="1" thickBot="1" x14ac:dyDescent="0.3">
      <c r="A19" s="11" t="s">
        <v>20</v>
      </c>
      <c r="B19" s="27"/>
      <c r="C19" s="64">
        <v>0</v>
      </c>
      <c r="D19" s="64">
        <v>0</v>
      </c>
      <c r="E19" s="61">
        <v>0</v>
      </c>
      <c r="F19" s="171">
        <f t="shared" si="2"/>
        <v>0</v>
      </c>
      <c r="G19" s="15">
        <v>0</v>
      </c>
      <c r="H19" s="15">
        <v>0</v>
      </c>
      <c r="I19" s="15">
        <v>0</v>
      </c>
      <c r="J19" s="15">
        <v>0</v>
      </c>
      <c r="K19" s="73">
        <f t="shared" si="0"/>
        <v>0</v>
      </c>
    </row>
    <row r="20" spans="1:11" ht="15.8" customHeight="1" thickBot="1" x14ac:dyDescent="0.3">
      <c r="A20" s="16" t="s">
        <v>21</v>
      </c>
      <c r="B20" s="47"/>
      <c r="C20" s="62">
        <f t="shared" ref="C20:H20" si="3">SUM(C12:C19)</f>
        <v>686.17</v>
      </c>
      <c r="D20" s="62">
        <f t="shared" si="3"/>
        <v>226684.12</v>
      </c>
      <c r="E20" s="62">
        <f t="shared" si="3"/>
        <v>0</v>
      </c>
      <c r="F20" s="109">
        <f t="shared" si="3"/>
        <v>227370.28999999998</v>
      </c>
      <c r="G20" s="62">
        <f t="shared" si="3"/>
        <v>0</v>
      </c>
      <c r="H20" s="62">
        <f t="shared" si="3"/>
        <v>0</v>
      </c>
      <c r="I20" s="62">
        <f>SUM(I12:I19)</f>
        <v>469205.29000000004</v>
      </c>
      <c r="J20" s="62">
        <f>SUM(J12:J19)</f>
        <v>0</v>
      </c>
      <c r="K20" s="98">
        <f t="shared" si="0"/>
        <v>469205.29000000004</v>
      </c>
    </row>
    <row r="21" spans="1:11" ht="17.5" customHeight="1" thickBot="1" x14ac:dyDescent="0.3">
      <c r="A21" s="20" t="s">
        <v>22</v>
      </c>
      <c r="B21" s="48"/>
      <c r="C21" s="63">
        <f>SUM(C9+C20)</f>
        <v>10327.83</v>
      </c>
      <c r="D21" s="63">
        <f>SUM(D9+D20)</f>
        <v>236735.84</v>
      </c>
      <c r="E21" s="63">
        <f>SUM(E9+E20)</f>
        <v>18082.09</v>
      </c>
      <c r="F21" s="110">
        <f>SUM(F9+F20)</f>
        <v>265345.70999999996</v>
      </c>
      <c r="G21" s="63">
        <f>G9+G20</f>
        <v>36540.35</v>
      </c>
      <c r="H21" s="63">
        <f>SUM(H9+H20)</f>
        <v>7639.15</v>
      </c>
      <c r="I21" s="63">
        <f>I9+I20</f>
        <v>2524428.4699999997</v>
      </c>
      <c r="J21" s="63">
        <f>J9+J20</f>
        <v>0</v>
      </c>
      <c r="K21" s="100">
        <f>SUM(I21:J21)</f>
        <v>2524428.4699999997</v>
      </c>
    </row>
    <row r="22" spans="1:11" ht="14.95" customHeight="1" thickBot="1" x14ac:dyDescent="0.3">
      <c r="A22" s="14"/>
      <c r="B22" s="50"/>
      <c r="C22" s="15"/>
      <c r="D22" s="15"/>
      <c r="E22" s="15"/>
      <c r="F22" s="171"/>
      <c r="G22" s="15"/>
      <c r="H22" s="15"/>
      <c r="I22" s="15"/>
      <c r="J22" s="15"/>
      <c r="K22" s="73"/>
    </row>
    <row r="23" spans="1:11" ht="14.95" customHeight="1" thickBot="1" x14ac:dyDescent="0.3">
      <c r="A23" s="21" t="s">
        <v>23</v>
      </c>
      <c r="B23" s="120"/>
      <c r="C23" s="22"/>
      <c r="D23" s="22"/>
      <c r="E23" s="22"/>
      <c r="F23" s="111"/>
      <c r="G23" s="22"/>
      <c r="H23" s="22"/>
      <c r="I23" s="22"/>
      <c r="J23" s="22"/>
      <c r="K23" s="96"/>
    </row>
    <row r="24" spans="1:11" ht="14.95" customHeight="1" thickBot="1" x14ac:dyDescent="0.3">
      <c r="A24" s="23" t="s">
        <v>236</v>
      </c>
      <c r="B24" s="32"/>
      <c r="C24" s="24">
        <f t="shared" ref="C24:J24" si="4">SUM(C26:C26)</f>
        <v>-395</v>
      </c>
      <c r="D24" s="24">
        <f t="shared" si="4"/>
        <v>200</v>
      </c>
      <c r="E24" s="24">
        <f t="shared" si="4"/>
        <v>-250</v>
      </c>
      <c r="F24" s="166">
        <f t="shared" si="4"/>
        <v>-445</v>
      </c>
      <c r="G24" s="24">
        <f t="shared" si="4"/>
        <v>0</v>
      </c>
      <c r="H24" s="24">
        <f t="shared" si="4"/>
        <v>-50</v>
      </c>
      <c r="I24" s="24">
        <f t="shared" si="4"/>
        <v>10742</v>
      </c>
      <c r="J24" s="24">
        <f t="shared" si="4"/>
        <v>0</v>
      </c>
      <c r="K24" s="167">
        <f>SUM(I24:J24)</f>
        <v>10742</v>
      </c>
    </row>
    <row r="25" spans="1:11" ht="12.9" customHeight="1" x14ac:dyDescent="0.25">
      <c r="A25" s="25" t="s">
        <v>24</v>
      </c>
      <c r="B25" s="29"/>
      <c r="C25" s="8"/>
      <c r="D25" s="8"/>
      <c r="E25" s="8"/>
      <c r="F25" s="103"/>
      <c r="G25" s="8"/>
      <c r="H25" s="8"/>
      <c r="I25" s="8"/>
      <c r="J25" s="8"/>
      <c r="K25" s="59"/>
    </row>
    <row r="26" spans="1:11" ht="17.149999999999999" customHeight="1" x14ac:dyDescent="0.25">
      <c r="A26" s="30" t="s">
        <v>233</v>
      </c>
      <c r="B26" s="34"/>
      <c r="C26" s="10">
        <f>-125-160-110</f>
        <v>-395</v>
      </c>
      <c r="D26" s="10">
        <v>200</v>
      </c>
      <c r="E26" s="10">
        <f>-80-120-50</f>
        <v>-250</v>
      </c>
      <c r="F26" s="112">
        <f t="shared" ref="F26" si="5">SUM(C26:E26)</f>
        <v>-445</v>
      </c>
      <c r="G26" s="10">
        <v>0</v>
      </c>
      <c r="H26" s="10">
        <f>-30-20</f>
        <v>-50</v>
      </c>
      <c r="I26" s="10">
        <v>10742</v>
      </c>
      <c r="J26" s="10">
        <v>0</v>
      </c>
      <c r="K26" s="170">
        <f>SUM(I26:J26)</f>
        <v>10742</v>
      </c>
    </row>
    <row r="27" spans="1:11" ht="15.65" customHeight="1" thickBot="1" x14ac:dyDescent="0.3">
      <c r="A27" s="164" t="s">
        <v>25</v>
      </c>
      <c r="B27" s="129"/>
      <c r="C27" s="168">
        <f t="shared" ref="C27:H27" si="6">SUM(C29:C31)</f>
        <v>0</v>
      </c>
      <c r="D27" s="168">
        <f t="shared" si="6"/>
        <v>0</v>
      </c>
      <c r="E27" s="168">
        <f t="shared" si="6"/>
        <v>29.749999999999993</v>
      </c>
      <c r="F27" s="169">
        <f t="shared" si="6"/>
        <v>-20.850000000000009</v>
      </c>
      <c r="G27" s="168">
        <f t="shared" si="6"/>
        <v>0</v>
      </c>
      <c r="H27" s="168">
        <f t="shared" si="6"/>
        <v>1039.58</v>
      </c>
      <c r="I27" s="130">
        <f>SUM(I29:I31)</f>
        <v>427293</v>
      </c>
      <c r="J27" s="130">
        <f>SUM(J29:J31)</f>
        <v>0</v>
      </c>
      <c r="K27" s="178">
        <f t="shared" si="0"/>
        <v>427293</v>
      </c>
    </row>
    <row r="28" spans="1:11" ht="14.95" customHeight="1" x14ac:dyDescent="0.25">
      <c r="A28" s="25" t="s">
        <v>24</v>
      </c>
      <c r="B28" s="131"/>
      <c r="C28" s="8"/>
      <c r="D28" s="8"/>
      <c r="E28" s="8"/>
      <c r="F28" s="103"/>
      <c r="G28" s="8"/>
      <c r="H28" s="8"/>
      <c r="I28" s="8"/>
      <c r="J28" s="8"/>
      <c r="K28" s="59"/>
    </row>
    <row r="29" spans="1:11" ht="14.95" customHeight="1" x14ac:dyDescent="0.25">
      <c r="A29" s="30" t="s">
        <v>26</v>
      </c>
      <c r="B29" s="34"/>
      <c r="C29" s="10">
        <v>0</v>
      </c>
      <c r="D29" s="10">
        <v>0</v>
      </c>
      <c r="E29" s="10">
        <f>26.45+44.57+18.63</f>
        <v>89.649999999999991</v>
      </c>
      <c r="F29" s="103">
        <f>SUM(C29:E29)</f>
        <v>89.649999999999991</v>
      </c>
      <c r="G29" s="8">
        <v>0</v>
      </c>
      <c r="H29" s="8">
        <v>0</v>
      </c>
      <c r="I29" s="8">
        <v>700</v>
      </c>
      <c r="J29" s="8">
        <v>0</v>
      </c>
      <c r="K29" s="59">
        <f t="shared" si="0"/>
        <v>700</v>
      </c>
    </row>
    <row r="30" spans="1:11" ht="14.95" customHeight="1" x14ac:dyDescent="0.25">
      <c r="A30" s="30" t="s">
        <v>27</v>
      </c>
      <c r="B30" s="34"/>
      <c r="C30" s="10">
        <v>0</v>
      </c>
      <c r="D30" s="10">
        <v>0</v>
      </c>
      <c r="E30" s="10">
        <v>0</v>
      </c>
      <c r="F30" s="103">
        <f>SUM(C30:E30)</f>
        <v>0</v>
      </c>
      <c r="G30" s="8">
        <v>0</v>
      </c>
      <c r="H30" s="8">
        <v>0</v>
      </c>
      <c r="I30" s="8">
        <v>14942</v>
      </c>
      <c r="J30" s="8">
        <v>0</v>
      </c>
      <c r="K30" s="59">
        <f t="shared" si="0"/>
        <v>14942</v>
      </c>
    </row>
    <row r="31" spans="1:11" ht="14.95" customHeight="1" thickBot="1" x14ac:dyDescent="0.3">
      <c r="A31" s="26" t="s">
        <v>28</v>
      </c>
      <c r="B31" s="51"/>
      <c r="C31" s="12">
        <v>0</v>
      </c>
      <c r="D31" s="12">
        <v>0</v>
      </c>
      <c r="E31" s="12">
        <f>-59.9</f>
        <v>-59.9</v>
      </c>
      <c r="F31" s="114">
        <f>SUM(C31:E31)-50.6</f>
        <v>-110.5</v>
      </c>
      <c r="G31" s="12">
        <v>0</v>
      </c>
      <c r="H31" s="12">
        <f>1136.3-96.72</f>
        <v>1039.58</v>
      </c>
      <c r="I31" s="12">
        <v>411651</v>
      </c>
      <c r="J31" s="12">
        <v>0</v>
      </c>
      <c r="K31" s="73">
        <f t="shared" si="0"/>
        <v>411651</v>
      </c>
    </row>
    <row r="32" spans="1:11" ht="15.65" customHeight="1" thickBot="1" x14ac:dyDescent="0.3">
      <c r="A32" s="23" t="s">
        <v>29</v>
      </c>
      <c r="B32" s="32"/>
      <c r="C32" s="24">
        <f t="shared" ref="C32:H32" si="7">SUM(C34:C39)</f>
        <v>483.3</v>
      </c>
      <c r="D32" s="24">
        <f t="shared" si="7"/>
        <v>19763.5</v>
      </c>
      <c r="E32" s="24">
        <f t="shared" si="7"/>
        <v>0</v>
      </c>
      <c r="F32" s="113">
        <f t="shared" si="7"/>
        <v>20246.8</v>
      </c>
      <c r="G32" s="24">
        <f t="shared" si="7"/>
        <v>6086.35</v>
      </c>
      <c r="H32" s="24">
        <f t="shared" si="7"/>
        <v>0</v>
      </c>
      <c r="I32" s="24">
        <f>SUM(I34:I39)</f>
        <v>85515.5</v>
      </c>
      <c r="J32" s="24">
        <f>SUM(J34:J39)</f>
        <v>0</v>
      </c>
      <c r="K32" s="167">
        <f t="shared" si="0"/>
        <v>85515.5</v>
      </c>
    </row>
    <row r="33" spans="1:11" ht="14.95" customHeight="1" x14ac:dyDescent="0.25">
      <c r="A33" s="25" t="s">
        <v>24</v>
      </c>
      <c r="B33" s="131"/>
      <c r="C33" s="8"/>
      <c r="D33" s="8"/>
      <c r="E33" s="8"/>
      <c r="F33" s="103"/>
      <c r="G33" s="8"/>
      <c r="H33" s="8"/>
      <c r="I33" s="8"/>
      <c r="J33" s="8"/>
      <c r="K33" s="59"/>
    </row>
    <row r="34" spans="1:11" ht="14.95" customHeight="1" x14ac:dyDescent="0.25">
      <c r="A34" s="19" t="s">
        <v>30</v>
      </c>
      <c r="B34" s="154" t="s">
        <v>265</v>
      </c>
      <c r="C34" s="10">
        <f>25</f>
        <v>25</v>
      </c>
      <c r="D34" s="10">
        <v>0</v>
      </c>
      <c r="E34" s="10">
        <v>0</v>
      </c>
      <c r="F34" s="103">
        <f t="shared" ref="F34:F39" si="8">SUM(C34:E34)</f>
        <v>25</v>
      </c>
      <c r="G34" s="8">
        <v>0</v>
      </c>
      <c r="H34" s="8">
        <v>0</v>
      </c>
      <c r="I34" s="8">
        <v>25</v>
      </c>
      <c r="J34" s="8">
        <v>0</v>
      </c>
      <c r="K34" s="59">
        <f t="shared" si="0"/>
        <v>25</v>
      </c>
    </row>
    <row r="35" spans="1:11" ht="14.95" customHeight="1" x14ac:dyDescent="0.25">
      <c r="A35" s="30" t="s">
        <v>238</v>
      </c>
      <c r="B35" s="34" t="s">
        <v>266</v>
      </c>
      <c r="C35" s="10">
        <v>0</v>
      </c>
      <c r="D35" s="10">
        <v>0</v>
      </c>
      <c r="E35" s="10">
        <v>0</v>
      </c>
      <c r="F35" s="103">
        <f t="shared" si="8"/>
        <v>0</v>
      </c>
      <c r="G35" s="8">
        <v>4000</v>
      </c>
      <c r="H35" s="8">
        <v>0</v>
      </c>
      <c r="I35" s="8">
        <v>22000</v>
      </c>
      <c r="J35" s="8">
        <v>0</v>
      </c>
      <c r="K35" s="59">
        <f t="shared" si="0"/>
        <v>22000</v>
      </c>
    </row>
    <row r="36" spans="1:11" ht="14.95" customHeight="1" x14ac:dyDescent="0.25">
      <c r="A36" s="30" t="s">
        <v>31</v>
      </c>
      <c r="B36" s="34"/>
      <c r="C36" s="10">
        <v>0</v>
      </c>
      <c r="D36" s="10">
        <v>0</v>
      </c>
      <c r="E36" s="10">
        <v>0</v>
      </c>
      <c r="F36" s="103">
        <f t="shared" si="8"/>
        <v>0</v>
      </c>
      <c r="G36" s="8">
        <v>2086.35</v>
      </c>
      <c r="H36" s="10">
        <v>0</v>
      </c>
      <c r="I36" s="8">
        <v>5000</v>
      </c>
      <c r="J36" s="8">
        <v>0</v>
      </c>
      <c r="K36" s="59">
        <f t="shared" si="0"/>
        <v>5000</v>
      </c>
    </row>
    <row r="37" spans="1:11" ht="14.95" customHeight="1" x14ac:dyDescent="0.25">
      <c r="A37" s="30" t="s">
        <v>32</v>
      </c>
      <c r="B37" s="34"/>
      <c r="C37" s="10">
        <v>0</v>
      </c>
      <c r="D37" s="10">
        <v>0</v>
      </c>
      <c r="E37" s="10">
        <v>0</v>
      </c>
      <c r="F37" s="103">
        <f t="shared" si="8"/>
        <v>0</v>
      </c>
      <c r="G37" s="8">
        <v>0</v>
      </c>
      <c r="H37" s="8">
        <v>0</v>
      </c>
      <c r="I37" s="8">
        <v>200</v>
      </c>
      <c r="J37" s="8">
        <v>0</v>
      </c>
      <c r="K37" s="59">
        <f t="shared" si="0"/>
        <v>200</v>
      </c>
    </row>
    <row r="38" spans="1:11" ht="14.95" customHeight="1" x14ac:dyDescent="0.25">
      <c r="A38" s="30" t="s">
        <v>33</v>
      </c>
      <c r="B38" s="34"/>
      <c r="C38" s="10">
        <v>0</v>
      </c>
      <c r="D38" s="10">
        <v>0</v>
      </c>
      <c r="E38" s="10">
        <v>0</v>
      </c>
      <c r="F38" s="103">
        <f t="shared" si="8"/>
        <v>0</v>
      </c>
      <c r="G38" s="8">
        <v>0</v>
      </c>
      <c r="H38" s="8">
        <v>0</v>
      </c>
      <c r="I38" s="8">
        <v>1000</v>
      </c>
      <c r="J38" s="8">
        <v>0</v>
      </c>
      <c r="K38" s="59">
        <f t="shared" si="0"/>
        <v>1000</v>
      </c>
    </row>
    <row r="39" spans="1:11" ht="14.95" customHeight="1" thickBot="1" x14ac:dyDescent="0.3">
      <c r="A39" s="26" t="s">
        <v>34</v>
      </c>
      <c r="B39" s="51"/>
      <c r="C39" s="15">
        <f>458.3</f>
        <v>458.3</v>
      </c>
      <c r="D39" s="15">
        <v>19763.5</v>
      </c>
      <c r="E39" s="15">
        <v>0</v>
      </c>
      <c r="F39" s="171">
        <f t="shared" si="8"/>
        <v>20221.8</v>
      </c>
      <c r="G39" s="15">
        <v>0</v>
      </c>
      <c r="H39" s="15">
        <v>0</v>
      </c>
      <c r="I39" s="144">
        <v>57290.5</v>
      </c>
      <c r="J39" s="8">
        <v>0</v>
      </c>
      <c r="K39" s="59">
        <f t="shared" si="0"/>
        <v>57290.5</v>
      </c>
    </row>
    <row r="40" spans="1:11" ht="15.65" customHeight="1" thickBot="1" x14ac:dyDescent="0.3">
      <c r="A40" s="23" t="s">
        <v>35</v>
      </c>
      <c r="B40" s="28"/>
      <c r="C40" s="24">
        <f t="shared" ref="C40:H40" si="9">SUM(C42:C43)</f>
        <v>-5092.71</v>
      </c>
      <c r="D40" s="24">
        <f t="shared" si="9"/>
        <v>16468.73</v>
      </c>
      <c r="E40" s="24">
        <f t="shared" si="9"/>
        <v>-2620.85</v>
      </c>
      <c r="F40" s="113">
        <f t="shared" si="9"/>
        <v>7762.6799999999994</v>
      </c>
      <c r="G40" s="24">
        <f t="shared" si="9"/>
        <v>437.15999999999985</v>
      </c>
      <c r="H40" s="24">
        <f t="shared" si="9"/>
        <v>-3015.4699999999993</v>
      </c>
      <c r="I40" s="24">
        <f>SUM(I42:I43)</f>
        <v>153636.95000000001</v>
      </c>
      <c r="J40" s="24">
        <f>SUM(J42:J43)</f>
        <v>-10787.72</v>
      </c>
      <c r="K40" s="165">
        <f t="shared" si="0"/>
        <v>142849.23000000001</v>
      </c>
    </row>
    <row r="41" spans="1:11" ht="14.95" customHeight="1" x14ac:dyDescent="0.25">
      <c r="A41" s="25" t="s">
        <v>24</v>
      </c>
      <c r="B41" s="131"/>
      <c r="C41" s="8"/>
      <c r="D41" s="8"/>
      <c r="E41" s="8"/>
      <c r="F41" s="103"/>
      <c r="G41" s="8"/>
      <c r="H41" s="8"/>
      <c r="I41" s="8"/>
      <c r="J41" s="8"/>
      <c r="K41" s="59"/>
    </row>
    <row r="42" spans="1:11" ht="14.95" customHeight="1" x14ac:dyDescent="0.25">
      <c r="A42" s="30" t="s">
        <v>26</v>
      </c>
      <c r="B42" s="34"/>
      <c r="C42" s="10">
        <f>-4985-1126.39+167.01+1105.13</f>
        <v>-4839.25</v>
      </c>
      <c r="D42" s="10">
        <v>15448.15</v>
      </c>
      <c r="E42" s="10">
        <f>-1132.37-1069.48-71-348</f>
        <v>-2620.85</v>
      </c>
      <c r="F42" s="103">
        <f>SUM(C42:E42)-962.49</f>
        <v>7025.5599999999995</v>
      </c>
      <c r="G42" s="8">
        <v>3957</v>
      </c>
      <c r="H42" s="8">
        <f>-983-3863.58-91+1026.34-327.12</f>
        <v>-4238.3599999999997</v>
      </c>
      <c r="I42" s="8">
        <v>59337</v>
      </c>
      <c r="J42" s="8">
        <f>-11425.46</f>
        <v>-11425.46</v>
      </c>
      <c r="K42" s="59">
        <f t="shared" si="0"/>
        <v>47911.54</v>
      </c>
    </row>
    <row r="43" spans="1:11" ht="14.95" customHeight="1" thickBot="1" x14ac:dyDescent="0.3">
      <c r="A43" s="26" t="s">
        <v>36</v>
      </c>
      <c r="B43" s="51"/>
      <c r="C43" s="12">
        <f>-128-125.46</f>
        <v>-253.45999999999998</v>
      </c>
      <c r="D43" s="12">
        <v>1020.58</v>
      </c>
      <c r="E43" s="12">
        <v>0</v>
      </c>
      <c r="F43" s="114">
        <f>SUM(C43:E43)-30</f>
        <v>737.12000000000012</v>
      </c>
      <c r="G43" s="12">
        <v>-3519.84</v>
      </c>
      <c r="H43" s="15">
        <f>39.36+690.73+425.6+67.2</f>
        <v>1222.8900000000001</v>
      </c>
      <c r="I43" s="15">
        <v>94299.95</v>
      </c>
      <c r="J43" s="15">
        <f>637.74</f>
        <v>637.74</v>
      </c>
      <c r="K43" s="73">
        <f t="shared" si="0"/>
        <v>94937.69</v>
      </c>
    </row>
    <row r="44" spans="1:11" ht="15.65" customHeight="1" thickBot="1" x14ac:dyDescent="0.3">
      <c r="A44" s="23" t="s">
        <v>37</v>
      </c>
      <c r="B44" s="32"/>
      <c r="C44" s="24">
        <f t="shared" ref="C44:H44" si="10">SUM(C46:C48)</f>
        <v>0</v>
      </c>
      <c r="D44" s="24">
        <f t="shared" si="10"/>
        <v>0</v>
      </c>
      <c r="E44" s="24">
        <f t="shared" si="10"/>
        <v>0</v>
      </c>
      <c r="F44" s="113">
        <f t="shared" si="10"/>
        <v>0</v>
      </c>
      <c r="G44" s="24">
        <f t="shared" si="10"/>
        <v>0</v>
      </c>
      <c r="H44" s="24">
        <f t="shared" si="10"/>
        <v>0</v>
      </c>
      <c r="I44" s="24">
        <f>SUM(I46:I48)</f>
        <v>1676</v>
      </c>
      <c r="J44" s="24">
        <f>SUM(J46:J48)</f>
        <v>0</v>
      </c>
      <c r="K44" s="167">
        <f t="shared" si="0"/>
        <v>1676</v>
      </c>
    </row>
    <row r="45" spans="1:11" ht="14.95" customHeight="1" x14ac:dyDescent="0.25">
      <c r="A45" s="33" t="s">
        <v>24</v>
      </c>
      <c r="B45" s="131"/>
      <c r="C45" s="8"/>
      <c r="D45" s="8"/>
      <c r="E45" s="8"/>
      <c r="F45" s="103"/>
      <c r="G45" s="8"/>
      <c r="H45" s="8"/>
      <c r="I45" s="8"/>
      <c r="J45" s="8"/>
      <c r="K45" s="59"/>
    </row>
    <row r="46" spans="1:11" ht="14.95" customHeight="1" x14ac:dyDescent="0.25">
      <c r="A46" s="9" t="s">
        <v>38</v>
      </c>
      <c r="B46" s="34"/>
      <c r="C46" s="10">
        <v>0</v>
      </c>
      <c r="D46" s="10">
        <v>0</v>
      </c>
      <c r="E46" s="10">
        <v>0</v>
      </c>
      <c r="F46" s="103">
        <f>SUM(C46:E46)</f>
        <v>0</v>
      </c>
      <c r="G46" s="8">
        <v>0</v>
      </c>
      <c r="H46" s="8">
        <v>0</v>
      </c>
      <c r="I46" s="8">
        <v>0</v>
      </c>
      <c r="J46" s="8">
        <v>0</v>
      </c>
      <c r="K46" s="59">
        <f t="shared" si="0"/>
        <v>0</v>
      </c>
    </row>
    <row r="47" spans="1:11" ht="14.95" customHeight="1" x14ac:dyDescent="0.25">
      <c r="A47" s="35" t="s">
        <v>26</v>
      </c>
      <c r="B47" s="34"/>
      <c r="C47" s="10">
        <v>0</v>
      </c>
      <c r="D47" s="10">
        <v>0</v>
      </c>
      <c r="E47" s="10">
        <v>0</v>
      </c>
      <c r="F47" s="103">
        <f>SUM(C47:E47)</f>
        <v>0</v>
      </c>
      <c r="G47" s="8">
        <v>0</v>
      </c>
      <c r="H47" s="8">
        <v>0</v>
      </c>
      <c r="I47" s="8">
        <v>66</v>
      </c>
      <c r="J47" s="8">
        <v>0</v>
      </c>
      <c r="K47" s="59">
        <f t="shared" si="0"/>
        <v>66</v>
      </c>
    </row>
    <row r="48" spans="1:11" ht="14.95" customHeight="1" thickBot="1" x14ac:dyDescent="0.3">
      <c r="A48" s="36" t="s">
        <v>39</v>
      </c>
      <c r="B48" s="51"/>
      <c r="C48" s="12">
        <v>0</v>
      </c>
      <c r="D48" s="12">
        <v>0</v>
      </c>
      <c r="E48" s="12">
        <v>0</v>
      </c>
      <c r="F48" s="171">
        <f>SUM(C48:E48)</f>
        <v>0</v>
      </c>
      <c r="G48" s="15">
        <v>0</v>
      </c>
      <c r="H48" s="15">
        <v>0</v>
      </c>
      <c r="I48" s="15">
        <v>1610</v>
      </c>
      <c r="J48" s="15">
        <v>0</v>
      </c>
      <c r="K48" s="73">
        <f t="shared" si="0"/>
        <v>1610</v>
      </c>
    </row>
    <row r="49" spans="1:11" ht="15.8" customHeight="1" thickBot="1" x14ac:dyDescent="0.3">
      <c r="A49" s="37" t="s">
        <v>40</v>
      </c>
      <c r="B49" s="92"/>
      <c r="C49" s="24">
        <f t="shared" ref="C49:J49" si="11">SUM(C51:C129)</f>
        <v>-256.50000000000011</v>
      </c>
      <c r="D49" s="24">
        <f t="shared" si="11"/>
        <v>5402.6799999999994</v>
      </c>
      <c r="E49" s="24">
        <f t="shared" si="11"/>
        <v>-99.029999999999973</v>
      </c>
      <c r="F49" s="113">
        <f t="shared" si="11"/>
        <v>5144.7999999999993</v>
      </c>
      <c r="G49" s="24">
        <f t="shared" si="11"/>
        <v>1830</v>
      </c>
      <c r="H49" s="24">
        <f t="shared" si="11"/>
        <v>-111.36000000000001</v>
      </c>
      <c r="I49" s="24">
        <f t="shared" si="11"/>
        <v>432734</v>
      </c>
      <c r="J49" s="24">
        <f t="shared" si="11"/>
        <v>0</v>
      </c>
      <c r="K49" s="167">
        <f t="shared" si="0"/>
        <v>432734</v>
      </c>
    </row>
    <row r="50" spans="1:11" ht="14.95" customHeight="1" x14ac:dyDescent="0.25">
      <c r="A50" s="38" t="s">
        <v>24</v>
      </c>
      <c r="B50" s="131"/>
      <c r="C50" s="8"/>
      <c r="D50" s="8"/>
      <c r="E50" s="8"/>
      <c r="F50" s="103"/>
      <c r="G50" s="8"/>
      <c r="H50" s="8"/>
      <c r="I50" s="8"/>
      <c r="J50" s="8"/>
      <c r="K50" s="59"/>
    </row>
    <row r="51" spans="1:11" ht="14.95" customHeight="1" x14ac:dyDescent="0.25">
      <c r="A51" s="35" t="s">
        <v>26</v>
      </c>
      <c r="B51" s="34"/>
      <c r="C51" s="10">
        <f>-120</f>
        <v>-120</v>
      </c>
      <c r="D51" s="10">
        <v>1500</v>
      </c>
      <c r="E51" s="10">
        <f>-70-150+800</f>
        <v>580</v>
      </c>
      <c r="F51" s="103">
        <f>SUM(C51:E51)+200</f>
        <v>2160</v>
      </c>
      <c r="G51" s="8">
        <v>0</v>
      </c>
      <c r="H51" s="8">
        <f>-70</f>
        <v>-70</v>
      </c>
      <c r="I51" s="8">
        <v>5050</v>
      </c>
      <c r="J51" s="8">
        <v>0</v>
      </c>
      <c r="K51" s="59">
        <f t="shared" si="0"/>
        <v>5050</v>
      </c>
    </row>
    <row r="52" spans="1:11" ht="14.95" customHeight="1" x14ac:dyDescent="0.25">
      <c r="A52" s="35" t="s">
        <v>41</v>
      </c>
      <c r="B52" s="34" t="s">
        <v>42</v>
      </c>
      <c r="C52" s="10">
        <v>0</v>
      </c>
      <c r="D52" s="10">
        <v>0</v>
      </c>
      <c r="E52" s="10">
        <v>0</v>
      </c>
      <c r="F52" s="103">
        <f t="shared" ref="F52:F61" si="12">SUM(C52:E52)</f>
        <v>0</v>
      </c>
      <c r="G52" s="8">
        <v>0</v>
      </c>
      <c r="H52" s="8">
        <v>0</v>
      </c>
      <c r="I52" s="8">
        <v>7000</v>
      </c>
      <c r="J52" s="8">
        <v>0</v>
      </c>
      <c r="K52" s="59">
        <f t="shared" si="0"/>
        <v>7000</v>
      </c>
    </row>
    <row r="53" spans="1:11" ht="25.5" customHeight="1" x14ac:dyDescent="0.25">
      <c r="A53" s="9" t="s">
        <v>209</v>
      </c>
      <c r="B53" s="34" t="s">
        <v>43</v>
      </c>
      <c r="C53" s="57">
        <v>0</v>
      </c>
      <c r="D53" s="57">
        <v>0</v>
      </c>
      <c r="E53" s="57">
        <v>0</v>
      </c>
      <c r="F53" s="103">
        <f t="shared" si="12"/>
        <v>0</v>
      </c>
      <c r="G53" s="8">
        <v>0</v>
      </c>
      <c r="H53" s="8">
        <v>0</v>
      </c>
      <c r="I53" s="8">
        <v>55000</v>
      </c>
      <c r="J53" s="8">
        <v>0</v>
      </c>
      <c r="K53" s="59">
        <f t="shared" ref="K53:K74" si="13">SUM(I53:J53)</f>
        <v>55000</v>
      </c>
    </row>
    <row r="54" spans="1:11" ht="23.95" customHeight="1" x14ac:dyDescent="0.25">
      <c r="A54" s="9" t="s">
        <v>210</v>
      </c>
      <c r="B54" s="34" t="s">
        <v>44</v>
      </c>
      <c r="C54" s="10">
        <v>0</v>
      </c>
      <c r="D54" s="10">
        <v>0</v>
      </c>
      <c r="E54" s="10">
        <v>0</v>
      </c>
      <c r="F54" s="103">
        <f t="shared" si="12"/>
        <v>0</v>
      </c>
      <c r="G54" s="8">
        <v>0</v>
      </c>
      <c r="H54" s="8">
        <v>0</v>
      </c>
      <c r="I54" s="8">
        <v>1000</v>
      </c>
      <c r="J54" s="8">
        <v>0</v>
      </c>
      <c r="K54" s="59">
        <f t="shared" si="13"/>
        <v>1000</v>
      </c>
    </row>
    <row r="55" spans="1:11" ht="14.95" customHeight="1" x14ac:dyDescent="0.25">
      <c r="A55" s="35" t="s">
        <v>45</v>
      </c>
      <c r="B55" s="34" t="s">
        <v>250</v>
      </c>
      <c r="C55" s="10">
        <v>0</v>
      </c>
      <c r="D55" s="10">
        <v>70</v>
      </c>
      <c r="E55" s="10">
        <v>0</v>
      </c>
      <c r="F55" s="103">
        <f t="shared" si="12"/>
        <v>70</v>
      </c>
      <c r="G55" s="8">
        <v>140</v>
      </c>
      <c r="H55" s="8">
        <v>0</v>
      </c>
      <c r="I55" s="8">
        <v>8149</v>
      </c>
      <c r="J55" s="8">
        <v>0</v>
      </c>
      <c r="K55" s="59">
        <f t="shared" si="13"/>
        <v>8149</v>
      </c>
    </row>
    <row r="56" spans="1:11" ht="14.95" customHeight="1" x14ac:dyDescent="0.25">
      <c r="A56" s="35" t="s">
        <v>46</v>
      </c>
      <c r="B56" s="34" t="s">
        <v>250</v>
      </c>
      <c r="C56" s="10">
        <v>0</v>
      </c>
      <c r="D56" s="10">
        <v>287</v>
      </c>
      <c r="E56" s="10">
        <v>0</v>
      </c>
      <c r="F56" s="103">
        <f t="shared" si="12"/>
        <v>287</v>
      </c>
      <c r="G56" s="8">
        <v>126</v>
      </c>
      <c r="H56" s="8">
        <v>0</v>
      </c>
      <c r="I56" s="8">
        <v>11143</v>
      </c>
      <c r="J56" s="8">
        <v>0</v>
      </c>
      <c r="K56" s="59">
        <f t="shared" si="13"/>
        <v>11143</v>
      </c>
    </row>
    <row r="57" spans="1:11" ht="14.95" customHeight="1" x14ac:dyDescent="0.25">
      <c r="A57" s="9" t="s">
        <v>47</v>
      </c>
      <c r="B57" s="34" t="s">
        <v>250</v>
      </c>
      <c r="C57" s="10">
        <v>0</v>
      </c>
      <c r="D57" s="10">
        <v>40</v>
      </c>
      <c r="E57" s="10">
        <v>0</v>
      </c>
      <c r="F57" s="103">
        <f t="shared" si="12"/>
        <v>40</v>
      </c>
      <c r="G57" s="8">
        <v>0</v>
      </c>
      <c r="H57" s="8">
        <v>0</v>
      </c>
      <c r="I57" s="8">
        <v>1725</v>
      </c>
      <c r="J57" s="8">
        <v>0</v>
      </c>
      <c r="K57" s="59">
        <f t="shared" si="13"/>
        <v>1725</v>
      </c>
    </row>
    <row r="58" spans="1:11" ht="14.95" customHeight="1" x14ac:dyDescent="0.25">
      <c r="A58" s="9" t="s">
        <v>48</v>
      </c>
      <c r="B58" s="34" t="s">
        <v>250</v>
      </c>
      <c r="C58" s="10">
        <v>0</v>
      </c>
      <c r="D58" s="10">
        <v>155</v>
      </c>
      <c r="E58" s="10">
        <v>0</v>
      </c>
      <c r="F58" s="103">
        <f t="shared" si="12"/>
        <v>155</v>
      </c>
      <c r="G58" s="8">
        <v>0</v>
      </c>
      <c r="H58" s="8">
        <v>0</v>
      </c>
      <c r="I58" s="8">
        <v>10216</v>
      </c>
      <c r="J58" s="8">
        <v>0</v>
      </c>
      <c r="K58" s="59">
        <f t="shared" si="13"/>
        <v>10216</v>
      </c>
    </row>
    <row r="59" spans="1:11" ht="14.95" customHeight="1" x14ac:dyDescent="0.25">
      <c r="A59" s="35" t="s">
        <v>49</v>
      </c>
      <c r="B59" s="34" t="s">
        <v>250</v>
      </c>
      <c r="C59" s="10">
        <v>0</v>
      </c>
      <c r="D59" s="10">
        <v>115</v>
      </c>
      <c r="E59" s="10">
        <v>0</v>
      </c>
      <c r="F59" s="103">
        <f t="shared" si="12"/>
        <v>115</v>
      </c>
      <c r="G59" s="8">
        <v>0</v>
      </c>
      <c r="H59" s="8">
        <v>0</v>
      </c>
      <c r="I59" s="8">
        <v>9725</v>
      </c>
      <c r="J59" s="8">
        <v>0</v>
      </c>
      <c r="K59" s="59">
        <f t="shared" si="13"/>
        <v>9725</v>
      </c>
    </row>
    <row r="60" spans="1:11" ht="14.95" customHeight="1" x14ac:dyDescent="0.25">
      <c r="A60" s="35" t="s">
        <v>50</v>
      </c>
      <c r="B60" s="34" t="s">
        <v>250</v>
      </c>
      <c r="C60" s="10">
        <v>0</v>
      </c>
      <c r="D60" s="10">
        <v>40</v>
      </c>
      <c r="E60" s="10">
        <v>0</v>
      </c>
      <c r="F60" s="103">
        <f t="shared" si="12"/>
        <v>40</v>
      </c>
      <c r="G60" s="8">
        <v>0</v>
      </c>
      <c r="H60" s="8">
        <v>0</v>
      </c>
      <c r="I60" s="8">
        <v>1368</v>
      </c>
      <c r="J60" s="8">
        <v>0</v>
      </c>
      <c r="K60" s="59">
        <f t="shared" si="13"/>
        <v>1368</v>
      </c>
    </row>
    <row r="61" spans="1:11" ht="14.95" customHeight="1" x14ac:dyDescent="0.25">
      <c r="A61" s="35" t="s">
        <v>51</v>
      </c>
      <c r="B61" s="34" t="s">
        <v>250</v>
      </c>
      <c r="C61" s="10">
        <v>0</v>
      </c>
      <c r="D61" s="10">
        <v>40</v>
      </c>
      <c r="E61" s="10">
        <v>0</v>
      </c>
      <c r="F61" s="103">
        <f t="shared" si="12"/>
        <v>40</v>
      </c>
      <c r="G61" s="8">
        <v>0</v>
      </c>
      <c r="H61" s="8">
        <v>0</v>
      </c>
      <c r="I61" s="8">
        <v>343</v>
      </c>
      <c r="J61" s="8">
        <v>0</v>
      </c>
      <c r="K61" s="59">
        <f t="shared" si="13"/>
        <v>343</v>
      </c>
    </row>
    <row r="62" spans="1:11" ht="14.95" customHeight="1" x14ac:dyDescent="0.25">
      <c r="A62" s="35" t="s">
        <v>52</v>
      </c>
      <c r="B62" s="34" t="s">
        <v>250</v>
      </c>
      <c r="C62" s="10">
        <v>0</v>
      </c>
      <c r="D62" s="10">
        <v>392</v>
      </c>
      <c r="E62" s="10">
        <v>0</v>
      </c>
      <c r="F62" s="103">
        <f>SUM(C62:E62)</f>
        <v>392</v>
      </c>
      <c r="G62" s="8">
        <v>0</v>
      </c>
      <c r="H62" s="8">
        <v>0</v>
      </c>
      <c r="I62" s="8">
        <v>11255</v>
      </c>
      <c r="J62" s="8">
        <v>0</v>
      </c>
      <c r="K62" s="59">
        <f t="shared" si="13"/>
        <v>11255</v>
      </c>
    </row>
    <row r="63" spans="1:11" ht="14.95" customHeight="1" x14ac:dyDescent="0.25">
      <c r="A63" s="35" t="s">
        <v>53</v>
      </c>
      <c r="B63" s="34" t="s">
        <v>250</v>
      </c>
      <c r="C63" s="10">
        <v>0</v>
      </c>
      <c r="D63" s="10">
        <v>40</v>
      </c>
      <c r="E63" s="10">
        <v>0</v>
      </c>
      <c r="F63" s="103">
        <f>SUM(C63:E63)</f>
        <v>40</v>
      </c>
      <c r="G63" s="8">
        <v>0</v>
      </c>
      <c r="H63" s="8">
        <v>0</v>
      </c>
      <c r="I63" s="8">
        <v>385</v>
      </c>
      <c r="J63" s="8">
        <v>0</v>
      </c>
      <c r="K63" s="59">
        <f t="shared" si="13"/>
        <v>385</v>
      </c>
    </row>
    <row r="64" spans="1:11" ht="14.95" customHeight="1" x14ac:dyDescent="0.25">
      <c r="A64" s="35" t="s">
        <v>54</v>
      </c>
      <c r="B64" s="34" t="s">
        <v>250</v>
      </c>
      <c r="C64" s="10">
        <v>0</v>
      </c>
      <c r="D64" s="10">
        <v>72</v>
      </c>
      <c r="E64" s="10">
        <v>0</v>
      </c>
      <c r="F64" s="103">
        <f t="shared" ref="F64:F74" si="14">SUM(C64:E64)</f>
        <v>72</v>
      </c>
      <c r="G64" s="8">
        <v>0</v>
      </c>
      <c r="H64" s="8">
        <v>0</v>
      </c>
      <c r="I64" s="8">
        <v>9097</v>
      </c>
      <c r="J64" s="8">
        <v>0</v>
      </c>
      <c r="K64" s="59">
        <f t="shared" si="13"/>
        <v>9097</v>
      </c>
    </row>
    <row r="65" spans="1:11" ht="14.95" customHeight="1" x14ac:dyDescent="0.25">
      <c r="A65" s="35" t="s">
        <v>55</v>
      </c>
      <c r="B65" s="34" t="s">
        <v>250</v>
      </c>
      <c r="C65" s="10">
        <v>0</v>
      </c>
      <c r="D65" s="10">
        <v>105</v>
      </c>
      <c r="E65" s="10">
        <v>0</v>
      </c>
      <c r="F65" s="103">
        <f t="shared" si="14"/>
        <v>105</v>
      </c>
      <c r="G65" s="8">
        <v>0</v>
      </c>
      <c r="H65" s="8">
        <v>0</v>
      </c>
      <c r="I65" s="8">
        <v>6943</v>
      </c>
      <c r="J65" s="8">
        <v>0</v>
      </c>
      <c r="K65" s="59">
        <f t="shared" si="13"/>
        <v>6943</v>
      </c>
    </row>
    <row r="66" spans="1:11" ht="14.95" customHeight="1" x14ac:dyDescent="0.25">
      <c r="A66" s="9" t="s">
        <v>56</v>
      </c>
      <c r="B66" s="34" t="s">
        <v>250</v>
      </c>
      <c r="C66" s="10">
        <v>0</v>
      </c>
      <c r="D66" s="10">
        <v>988</v>
      </c>
      <c r="E66" s="10">
        <v>0</v>
      </c>
      <c r="F66" s="103">
        <f t="shared" si="14"/>
        <v>988</v>
      </c>
      <c r="G66" s="8">
        <v>0</v>
      </c>
      <c r="H66" s="8">
        <v>0</v>
      </c>
      <c r="I66" s="8">
        <v>20798</v>
      </c>
      <c r="J66" s="8">
        <v>0</v>
      </c>
      <c r="K66" s="59">
        <f t="shared" si="13"/>
        <v>20798</v>
      </c>
    </row>
    <row r="67" spans="1:11" ht="14.95" customHeight="1" x14ac:dyDescent="0.25">
      <c r="A67" s="9" t="s">
        <v>57</v>
      </c>
      <c r="B67" s="34" t="s">
        <v>250</v>
      </c>
      <c r="C67" s="10">
        <v>0</v>
      </c>
      <c r="D67" s="10">
        <v>206.1</v>
      </c>
      <c r="E67" s="10">
        <v>0</v>
      </c>
      <c r="F67" s="103">
        <f t="shared" si="14"/>
        <v>206.1</v>
      </c>
      <c r="G67" s="8">
        <v>0</v>
      </c>
      <c r="H67" s="8">
        <v>0</v>
      </c>
      <c r="I67" s="8">
        <v>15620</v>
      </c>
      <c r="J67" s="8">
        <v>0</v>
      </c>
      <c r="K67" s="59">
        <f t="shared" si="13"/>
        <v>15620</v>
      </c>
    </row>
    <row r="68" spans="1:11" ht="14.95" customHeight="1" x14ac:dyDescent="0.25">
      <c r="A68" s="35" t="s">
        <v>58</v>
      </c>
      <c r="B68" s="34" t="s">
        <v>250</v>
      </c>
      <c r="C68" s="10">
        <v>0</v>
      </c>
      <c r="D68" s="10">
        <v>85.93</v>
      </c>
      <c r="E68" s="10">
        <v>0</v>
      </c>
      <c r="F68" s="103">
        <f t="shared" si="14"/>
        <v>85.93</v>
      </c>
      <c r="G68" s="8">
        <v>0</v>
      </c>
      <c r="H68" s="8">
        <v>0</v>
      </c>
      <c r="I68" s="8">
        <v>8504</v>
      </c>
      <c r="J68" s="8">
        <v>0</v>
      </c>
      <c r="K68" s="59">
        <f t="shared" si="13"/>
        <v>8504</v>
      </c>
    </row>
    <row r="69" spans="1:11" ht="14.95" customHeight="1" x14ac:dyDescent="0.25">
      <c r="A69" s="35" t="s">
        <v>59</v>
      </c>
      <c r="B69" s="34" t="s">
        <v>250</v>
      </c>
      <c r="C69" s="10">
        <v>0</v>
      </c>
      <c r="D69" s="10">
        <v>164.77</v>
      </c>
      <c r="E69" s="10">
        <v>0</v>
      </c>
      <c r="F69" s="103">
        <f t="shared" si="14"/>
        <v>164.77</v>
      </c>
      <c r="G69" s="8">
        <v>0</v>
      </c>
      <c r="H69" s="8">
        <v>0</v>
      </c>
      <c r="I69" s="8">
        <v>10678</v>
      </c>
      <c r="J69" s="8">
        <v>0</v>
      </c>
      <c r="K69" s="59">
        <f t="shared" si="13"/>
        <v>10678</v>
      </c>
    </row>
    <row r="70" spans="1:11" ht="14.95" customHeight="1" x14ac:dyDescent="0.25">
      <c r="A70" s="9" t="s">
        <v>60</v>
      </c>
      <c r="B70" s="34" t="s">
        <v>250</v>
      </c>
      <c r="C70" s="10">
        <v>0</v>
      </c>
      <c r="D70" s="10">
        <v>304.7</v>
      </c>
      <c r="E70" s="10">
        <v>0</v>
      </c>
      <c r="F70" s="103">
        <f t="shared" si="14"/>
        <v>304.7</v>
      </c>
      <c r="G70" s="8">
        <v>0</v>
      </c>
      <c r="H70" s="8">
        <v>0</v>
      </c>
      <c r="I70" s="8">
        <v>21996</v>
      </c>
      <c r="J70" s="8">
        <v>0</v>
      </c>
      <c r="K70" s="59">
        <f t="shared" si="13"/>
        <v>21996</v>
      </c>
    </row>
    <row r="71" spans="1:11" ht="14.95" customHeight="1" x14ac:dyDescent="0.25">
      <c r="A71" s="35" t="s">
        <v>61</v>
      </c>
      <c r="B71" s="34" t="s">
        <v>250</v>
      </c>
      <c r="C71" s="10">
        <v>0</v>
      </c>
      <c r="D71" s="10">
        <v>231.77</v>
      </c>
      <c r="E71" s="10">
        <v>0</v>
      </c>
      <c r="F71" s="103">
        <f t="shared" si="14"/>
        <v>231.77</v>
      </c>
      <c r="G71" s="8">
        <v>0</v>
      </c>
      <c r="H71" s="8">
        <v>0</v>
      </c>
      <c r="I71" s="8">
        <v>18374</v>
      </c>
      <c r="J71" s="8">
        <v>0</v>
      </c>
      <c r="K71" s="59">
        <f t="shared" si="13"/>
        <v>18374</v>
      </c>
    </row>
    <row r="72" spans="1:11" ht="14.95" customHeight="1" x14ac:dyDescent="0.25">
      <c r="A72" s="38" t="s">
        <v>62</v>
      </c>
      <c r="B72" s="131" t="s">
        <v>250</v>
      </c>
      <c r="C72" s="8">
        <v>0</v>
      </c>
      <c r="D72" s="8">
        <v>238.62</v>
      </c>
      <c r="E72" s="8">
        <v>0</v>
      </c>
      <c r="F72" s="103">
        <f t="shared" si="14"/>
        <v>238.62</v>
      </c>
      <c r="G72" s="8">
        <v>0</v>
      </c>
      <c r="H72" s="8">
        <v>0</v>
      </c>
      <c r="I72" s="8">
        <v>16592</v>
      </c>
      <c r="J72" s="8">
        <v>0</v>
      </c>
      <c r="K72" s="59">
        <f t="shared" si="13"/>
        <v>16592</v>
      </c>
    </row>
    <row r="73" spans="1:11" ht="14.95" customHeight="1" x14ac:dyDescent="0.25">
      <c r="A73" s="35" t="s">
        <v>63</v>
      </c>
      <c r="B73" s="34" t="s">
        <v>250</v>
      </c>
      <c r="C73" s="10">
        <v>0</v>
      </c>
      <c r="D73" s="10">
        <v>289.77</v>
      </c>
      <c r="E73" s="10">
        <v>0</v>
      </c>
      <c r="F73" s="103">
        <f t="shared" si="14"/>
        <v>289.77</v>
      </c>
      <c r="G73" s="8">
        <v>27</v>
      </c>
      <c r="H73" s="8">
        <v>0</v>
      </c>
      <c r="I73" s="8">
        <v>15573</v>
      </c>
      <c r="J73" s="8">
        <v>0</v>
      </c>
      <c r="K73" s="59">
        <f t="shared" si="13"/>
        <v>15573</v>
      </c>
    </row>
    <row r="74" spans="1:11" ht="14.95" customHeight="1" x14ac:dyDescent="0.25">
      <c r="A74" s="35" t="s">
        <v>64</v>
      </c>
      <c r="B74" s="34" t="s">
        <v>250</v>
      </c>
      <c r="C74" s="10">
        <v>0</v>
      </c>
      <c r="D74" s="10">
        <v>264.79000000000002</v>
      </c>
      <c r="E74" s="10">
        <v>0</v>
      </c>
      <c r="F74" s="103">
        <f t="shared" si="14"/>
        <v>264.79000000000002</v>
      </c>
      <c r="G74" s="8">
        <v>0</v>
      </c>
      <c r="H74" s="8">
        <v>0</v>
      </c>
      <c r="I74" s="8">
        <v>7374</v>
      </c>
      <c r="J74" s="8">
        <v>0</v>
      </c>
      <c r="K74" s="59">
        <f t="shared" si="13"/>
        <v>7374</v>
      </c>
    </row>
    <row r="75" spans="1:11" ht="14.95" customHeight="1" x14ac:dyDescent="0.25">
      <c r="A75" s="35" t="s">
        <v>65</v>
      </c>
      <c r="B75" s="34" t="s">
        <v>250</v>
      </c>
      <c r="C75" s="10">
        <v>0</v>
      </c>
      <c r="D75" s="10">
        <v>63</v>
      </c>
      <c r="E75" s="10">
        <v>0</v>
      </c>
      <c r="F75" s="103">
        <f t="shared" ref="F75:F76" si="15">SUM(C75:E75)</f>
        <v>63</v>
      </c>
      <c r="G75" s="8">
        <v>0</v>
      </c>
      <c r="H75" s="8">
        <v>0</v>
      </c>
      <c r="I75" s="8">
        <v>4241</v>
      </c>
      <c r="J75" s="8">
        <v>0</v>
      </c>
      <c r="K75" s="59">
        <f t="shared" ref="K75:K124" si="16">SUM(I75:J75)</f>
        <v>4241</v>
      </c>
    </row>
    <row r="76" spans="1:11" ht="14.95" customHeight="1" x14ac:dyDescent="0.25">
      <c r="A76" s="35" t="s">
        <v>66</v>
      </c>
      <c r="B76" s="34" t="s">
        <v>250</v>
      </c>
      <c r="C76" s="10">
        <v>0</v>
      </c>
      <c r="D76" s="10">
        <v>339.05</v>
      </c>
      <c r="E76" s="10">
        <v>0</v>
      </c>
      <c r="F76" s="103">
        <f t="shared" si="15"/>
        <v>339.05</v>
      </c>
      <c r="G76" s="8">
        <v>149</v>
      </c>
      <c r="H76" s="8">
        <v>0</v>
      </c>
      <c r="I76" s="8">
        <v>18721</v>
      </c>
      <c r="J76" s="8">
        <v>0</v>
      </c>
      <c r="K76" s="59">
        <f t="shared" si="16"/>
        <v>18721</v>
      </c>
    </row>
    <row r="77" spans="1:11" ht="14.95" customHeight="1" x14ac:dyDescent="0.25">
      <c r="A77" s="35" t="s">
        <v>67</v>
      </c>
      <c r="B77" s="34" t="s">
        <v>250</v>
      </c>
      <c r="C77" s="10">
        <v>0</v>
      </c>
      <c r="D77" s="10">
        <v>60</v>
      </c>
      <c r="E77" s="10">
        <v>0</v>
      </c>
      <c r="F77" s="103">
        <f>SUM(C77:E77)</f>
        <v>60</v>
      </c>
      <c r="G77" s="82">
        <v>0</v>
      </c>
      <c r="H77" s="10">
        <v>0</v>
      </c>
      <c r="I77" s="8">
        <v>4997</v>
      </c>
      <c r="J77" s="8">
        <v>0</v>
      </c>
      <c r="K77" s="59">
        <f t="shared" si="16"/>
        <v>4997</v>
      </c>
    </row>
    <row r="78" spans="1:11" ht="14.95" customHeight="1" x14ac:dyDescent="0.25">
      <c r="A78" s="35" t="s">
        <v>68</v>
      </c>
      <c r="B78" s="34" t="s">
        <v>250</v>
      </c>
      <c r="C78" s="10">
        <v>0</v>
      </c>
      <c r="D78" s="10">
        <v>602</v>
      </c>
      <c r="E78" s="10">
        <v>0</v>
      </c>
      <c r="F78" s="103">
        <f>SUM(C78:E78)</f>
        <v>602</v>
      </c>
      <c r="G78" s="83">
        <v>0</v>
      </c>
      <c r="H78" s="8">
        <v>0</v>
      </c>
      <c r="I78" s="10">
        <v>7718</v>
      </c>
      <c r="J78" s="8">
        <v>0</v>
      </c>
      <c r="K78" s="59">
        <f t="shared" si="16"/>
        <v>7718</v>
      </c>
    </row>
    <row r="79" spans="1:11" ht="14.95" customHeight="1" x14ac:dyDescent="0.25">
      <c r="A79" s="35" t="s">
        <v>69</v>
      </c>
      <c r="B79" s="34" t="s">
        <v>250</v>
      </c>
      <c r="C79" s="83">
        <v>0</v>
      </c>
      <c r="D79" s="83">
        <v>8</v>
      </c>
      <c r="E79" s="83">
        <v>0</v>
      </c>
      <c r="F79" s="83">
        <f>SUM(C79:E79)</f>
        <v>8</v>
      </c>
      <c r="G79" s="82">
        <v>0</v>
      </c>
      <c r="H79" s="8">
        <v>0</v>
      </c>
      <c r="I79" s="8">
        <v>4011</v>
      </c>
      <c r="J79" s="8">
        <v>0</v>
      </c>
      <c r="K79" s="59">
        <f t="shared" si="16"/>
        <v>4011</v>
      </c>
    </row>
    <row r="80" spans="1:11" ht="14.95" customHeight="1" x14ac:dyDescent="0.25">
      <c r="A80" s="35" t="s">
        <v>70</v>
      </c>
      <c r="B80" s="34" t="s">
        <v>250</v>
      </c>
      <c r="C80" s="83">
        <v>0</v>
      </c>
      <c r="D80" s="83">
        <v>891</v>
      </c>
      <c r="E80" s="83">
        <v>0</v>
      </c>
      <c r="F80" s="83">
        <f t="shared" ref="F80:F95" si="17">SUM(C80:E80)</f>
        <v>891</v>
      </c>
      <c r="G80" s="83">
        <v>0</v>
      </c>
      <c r="H80" s="82">
        <v>0</v>
      </c>
      <c r="I80" s="8">
        <v>22579</v>
      </c>
      <c r="J80" s="8">
        <v>0</v>
      </c>
      <c r="K80" s="59">
        <f t="shared" si="16"/>
        <v>22579</v>
      </c>
    </row>
    <row r="81" spans="1:13" ht="14.95" customHeight="1" x14ac:dyDescent="0.25">
      <c r="A81" s="40" t="s">
        <v>71</v>
      </c>
      <c r="B81" s="34" t="s">
        <v>250</v>
      </c>
      <c r="C81" s="10">
        <v>0</v>
      </c>
      <c r="D81" s="10">
        <v>1503</v>
      </c>
      <c r="E81" s="83">
        <v>0</v>
      </c>
      <c r="F81" s="83">
        <f t="shared" si="17"/>
        <v>1503</v>
      </c>
      <c r="G81" s="83">
        <v>0</v>
      </c>
      <c r="H81" s="83">
        <v>0</v>
      </c>
      <c r="I81" s="10">
        <v>32000</v>
      </c>
      <c r="J81" s="10">
        <v>0</v>
      </c>
      <c r="K81" s="170">
        <f t="shared" si="16"/>
        <v>32000</v>
      </c>
      <c r="M81" s="139"/>
    </row>
    <row r="82" spans="1:13" ht="36.700000000000003" customHeight="1" x14ac:dyDescent="0.25">
      <c r="A82" s="155" t="s">
        <v>271</v>
      </c>
      <c r="B82" s="172"/>
      <c r="C82" s="158">
        <f>-2807.38</f>
        <v>-2807.38</v>
      </c>
      <c r="D82" s="158">
        <v>426.22</v>
      </c>
      <c r="E82" s="158">
        <v>0</v>
      </c>
      <c r="F82" s="157">
        <f t="shared" si="17"/>
        <v>-2381.16</v>
      </c>
      <c r="G82" s="157">
        <v>0</v>
      </c>
      <c r="H82" s="157">
        <v>0</v>
      </c>
      <c r="I82" s="159">
        <v>1500</v>
      </c>
      <c r="J82" s="157">
        <v>0</v>
      </c>
      <c r="K82" s="179">
        <f t="shared" si="16"/>
        <v>1500</v>
      </c>
    </row>
    <row r="83" spans="1:13" ht="14.95" customHeight="1" x14ac:dyDescent="0.25">
      <c r="A83" s="155" t="s">
        <v>72</v>
      </c>
      <c r="B83" s="156"/>
      <c r="C83" s="158">
        <f>342.88</f>
        <v>342.88</v>
      </c>
      <c r="D83" s="158">
        <v>0</v>
      </c>
      <c r="E83" s="158">
        <v>0</v>
      </c>
      <c r="F83" s="157">
        <f t="shared" si="17"/>
        <v>342.88</v>
      </c>
      <c r="G83" s="157">
        <v>0</v>
      </c>
      <c r="H83" s="157">
        <v>0</v>
      </c>
      <c r="I83" s="159">
        <v>0</v>
      </c>
      <c r="J83" s="157">
        <v>0</v>
      </c>
      <c r="K83" s="180">
        <f t="shared" si="16"/>
        <v>0</v>
      </c>
    </row>
    <row r="84" spans="1:13" ht="14.95" customHeight="1" x14ac:dyDescent="0.25">
      <c r="A84" s="133" t="s">
        <v>73</v>
      </c>
      <c r="B84" s="134"/>
      <c r="C84" s="136">
        <v>154.59</v>
      </c>
      <c r="D84" s="136">
        <v>0</v>
      </c>
      <c r="E84" s="136">
        <v>0</v>
      </c>
      <c r="F84" s="135">
        <f t="shared" si="17"/>
        <v>154.59</v>
      </c>
      <c r="G84" s="135">
        <v>0</v>
      </c>
      <c r="H84" s="135">
        <v>0</v>
      </c>
      <c r="I84" s="132">
        <v>0</v>
      </c>
      <c r="J84" s="135">
        <v>0</v>
      </c>
      <c r="K84" s="180">
        <f t="shared" si="16"/>
        <v>0</v>
      </c>
    </row>
    <row r="85" spans="1:13" ht="14.95" customHeight="1" x14ac:dyDescent="0.25">
      <c r="A85" s="133" t="s">
        <v>74</v>
      </c>
      <c r="B85" s="134"/>
      <c r="C85" s="136">
        <v>257.52999999999997</v>
      </c>
      <c r="D85" s="136">
        <v>0</v>
      </c>
      <c r="E85" s="136">
        <v>0</v>
      </c>
      <c r="F85" s="135">
        <f t="shared" si="17"/>
        <v>257.52999999999997</v>
      </c>
      <c r="G85" s="135">
        <v>0</v>
      </c>
      <c r="H85" s="135">
        <v>0</v>
      </c>
      <c r="I85" s="132">
        <v>0</v>
      </c>
      <c r="J85" s="135">
        <v>0</v>
      </c>
      <c r="K85" s="180">
        <f t="shared" si="16"/>
        <v>0</v>
      </c>
    </row>
    <row r="86" spans="1:13" ht="14.95" customHeight="1" x14ac:dyDescent="0.25">
      <c r="A86" s="133" t="s">
        <v>75</v>
      </c>
      <c r="B86" s="134"/>
      <c r="C86" s="136">
        <v>412.23</v>
      </c>
      <c r="D86" s="136">
        <v>0</v>
      </c>
      <c r="E86" s="136">
        <v>0</v>
      </c>
      <c r="F86" s="135">
        <f t="shared" si="17"/>
        <v>412.23</v>
      </c>
      <c r="G86" s="135">
        <v>0</v>
      </c>
      <c r="H86" s="135">
        <v>0</v>
      </c>
      <c r="I86" s="132">
        <v>0</v>
      </c>
      <c r="J86" s="135">
        <v>0</v>
      </c>
      <c r="K86" s="180">
        <f t="shared" si="16"/>
        <v>0</v>
      </c>
    </row>
    <row r="87" spans="1:13" ht="14.95" customHeight="1" x14ac:dyDescent="0.25">
      <c r="A87" s="133" t="s">
        <v>76</v>
      </c>
      <c r="B87" s="134"/>
      <c r="C87" s="136">
        <v>335.62</v>
      </c>
      <c r="D87" s="136">
        <v>0</v>
      </c>
      <c r="E87" s="136">
        <v>0</v>
      </c>
      <c r="F87" s="135">
        <f t="shared" si="17"/>
        <v>335.62</v>
      </c>
      <c r="G87" s="135">
        <v>0</v>
      </c>
      <c r="H87" s="135">
        <v>0</v>
      </c>
      <c r="I87" s="132">
        <v>0</v>
      </c>
      <c r="J87" s="135">
        <v>0</v>
      </c>
      <c r="K87" s="180">
        <f t="shared" si="16"/>
        <v>0</v>
      </c>
    </row>
    <row r="88" spans="1:13" ht="14.95" customHeight="1" x14ac:dyDescent="0.25">
      <c r="A88" s="133" t="s">
        <v>77</v>
      </c>
      <c r="B88" s="134"/>
      <c r="C88" s="136">
        <v>273.38</v>
      </c>
      <c r="D88" s="136">
        <v>0</v>
      </c>
      <c r="E88" s="136">
        <v>0</v>
      </c>
      <c r="F88" s="135">
        <f t="shared" si="17"/>
        <v>273.38</v>
      </c>
      <c r="G88" s="135">
        <v>0</v>
      </c>
      <c r="H88" s="135">
        <v>0</v>
      </c>
      <c r="I88" s="132">
        <v>0</v>
      </c>
      <c r="J88" s="135">
        <v>0</v>
      </c>
      <c r="K88" s="180">
        <f t="shared" si="16"/>
        <v>0</v>
      </c>
    </row>
    <row r="89" spans="1:13" ht="14.95" customHeight="1" x14ac:dyDescent="0.25">
      <c r="A89" s="133" t="s">
        <v>78</v>
      </c>
      <c r="B89" s="134"/>
      <c r="C89" s="136">
        <v>331.97</v>
      </c>
      <c r="D89" s="136">
        <v>0</v>
      </c>
      <c r="E89" s="136">
        <v>0</v>
      </c>
      <c r="F89" s="135">
        <f t="shared" si="17"/>
        <v>331.97</v>
      </c>
      <c r="G89" s="135">
        <v>0</v>
      </c>
      <c r="H89" s="135">
        <v>0</v>
      </c>
      <c r="I89" s="132">
        <v>0</v>
      </c>
      <c r="J89" s="135">
        <v>0</v>
      </c>
      <c r="K89" s="180">
        <f t="shared" si="16"/>
        <v>0</v>
      </c>
    </row>
    <row r="90" spans="1:13" ht="14.95" customHeight="1" x14ac:dyDescent="0.25">
      <c r="A90" s="133" t="s">
        <v>79</v>
      </c>
      <c r="B90" s="134"/>
      <c r="C90" s="136">
        <v>413.6</v>
      </c>
      <c r="D90" s="136">
        <v>0</v>
      </c>
      <c r="E90" s="136">
        <v>0</v>
      </c>
      <c r="F90" s="135">
        <f t="shared" si="17"/>
        <v>413.6</v>
      </c>
      <c r="G90" s="135">
        <v>0</v>
      </c>
      <c r="H90" s="135">
        <v>0</v>
      </c>
      <c r="I90" s="132">
        <v>0</v>
      </c>
      <c r="J90" s="135">
        <v>0</v>
      </c>
      <c r="K90" s="180">
        <f t="shared" si="16"/>
        <v>0</v>
      </c>
    </row>
    <row r="91" spans="1:13" ht="14.95" customHeight="1" x14ac:dyDescent="0.25">
      <c r="A91" s="133" t="s">
        <v>80</v>
      </c>
      <c r="B91" s="134"/>
      <c r="C91" s="136">
        <v>86.64</v>
      </c>
      <c r="D91" s="136">
        <v>0</v>
      </c>
      <c r="E91" s="136">
        <v>0</v>
      </c>
      <c r="F91" s="135">
        <f t="shared" si="17"/>
        <v>86.64</v>
      </c>
      <c r="G91" s="135">
        <v>0</v>
      </c>
      <c r="H91" s="135">
        <v>0</v>
      </c>
      <c r="I91" s="132">
        <v>0</v>
      </c>
      <c r="J91" s="135">
        <v>0</v>
      </c>
      <c r="K91" s="180">
        <f t="shared" si="16"/>
        <v>0</v>
      </c>
    </row>
    <row r="92" spans="1:13" ht="14.95" customHeight="1" x14ac:dyDescent="0.25">
      <c r="A92" s="133" t="s">
        <v>226</v>
      </c>
      <c r="B92" s="134"/>
      <c r="C92" s="136">
        <v>19.38</v>
      </c>
      <c r="D92" s="136">
        <v>0</v>
      </c>
      <c r="E92" s="136">
        <v>0</v>
      </c>
      <c r="F92" s="135">
        <f t="shared" si="17"/>
        <v>19.38</v>
      </c>
      <c r="G92" s="135">
        <v>0</v>
      </c>
      <c r="H92" s="135">
        <v>0</v>
      </c>
      <c r="I92" s="132">
        <v>0</v>
      </c>
      <c r="J92" s="135">
        <v>0</v>
      </c>
      <c r="K92" s="180">
        <f t="shared" si="16"/>
        <v>0</v>
      </c>
    </row>
    <row r="93" spans="1:13" ht="14.95" customHeight="1" x14ac:dyDescent="0.25">
      <c r="A93" s="133" t="s">
        <v>81</v>
      </c>
      <c r="B93" s="134"/>
      <c r="C93" s="136">
        <v>3.65</v>
      </c>
      <c r="D93" s="136">
        <v>0</v>
      </c>
      <c r="E93" s="136">
        <v>0</v>
      </c>
      <c r="F93" s="135">
        <f t="shared" si="17"/>
        <v>3.65</v>
      </c>
      <c r="G93" s="135">
        <v>0</v>
      </c>
      <c r="H93" s="135">
        <v>0</v>
      </c>
      <c r="I93" s="132">
        <v>0</v>
      </c>
      <c r="J93" s="135">
        <v>0</v>
      </c>
      <c r="K93" s="180">
        <f t="shared" si="16"/>
        <v>0</v>
      </c>
    </row>
    <row r="94" spans="1:13" ht="14.95" customHeight="1" x14ac:dyDescent="0.25">
      <c r="A94" s="125" t="s">
        <v>82</v>
      </c>
      <c r="B94" s="124"/>
      <c r="C94" s="103">
        <v>175.91</v>
      </c>
      <c r="D94" s="103">
        <v>0</v>
      </c>
      <c r="E94" s="103">
        <v>0</v>
      </c>
      <c r="F94" s="82">
        <f t="shared" si="17"/>
        <v>175.91</v>
      </c>
      <c r="G94" s="82">
        <v>0</v>
      </c>
      <c r="H94" s="82">
        <v>0</v>
      </c>
      <c r="I94" s="8">
        <v>0</v>
      </c>
      <c r="J94" s="82">
        <v>0</v>
      </c>
      <c r="K94" s="173">
        <f t="shared" si="16"/>
        <v>0</v>
      </c>
    </row>
    <row r="95" spans="1:13" ht="14.95" customHeight="1" x14ac:dyDescent="0.25">
      <c r="A95" s="39" t="s">
        <v>83</v>
      </c>
      <c r="B95" s="131" t="s">
        <v>250</v>
      </c>
      <c r="C95" s="82">
        <v>0</v>
      </c>
      <c r="D95" s="82">
        <v>0</v>
      </c>
      <c r="E95" s="82">
        <v>0</v>
      </c>
      <c r="F95" s="82">
        <f t="shared" si="17"/>
        <v>0</v>
      </c>
      <c r="G95" s="82">
        <v>0</v>
      </c>
      <c r="H95" s="82">
        <v>0</v>
      </c>
      <c r="I95" s="8">
        <v>450</v>
      </c>
      <c r="J95" s="82">
        <v>0</v>
      </c>
      <c r="K95" s="173">
        <f t="shared" si="16"/>
        <v>450</v>
      </c>
    </row>
    <row r="96" spans="1:13" ht="26.15" customHeight="1" x14ac:dyDescent="0.25">
      <c r="A96" s="125" t="s">
        <v>244</v>
      </c>
      <c r="B96" s="140" t="s">
        <v>250</v>
      </c>
      <c r="C96" s="82"/>
      <c r="D96" s="82"/>
      <c r="E96" s="82"/>
      <c r="F96" s="82"/>
      <c r="G96" s="82"/>
      <c r="H96" s="82"/>
      <c r="I96" s="141">
        <v>326</v>
      </c>
      <c r="J96" s="82">
        <v>0</v>
      </c>
      <c r="K96" s="173">
        <f t="shared" si="16"/>
        <v>326</v>
      </c>
    </row>
    <row r="97" spans="1:11" ht="14.95" customHeight="1" x14ac:dyDescent="0.25">
      <c r="A97" s="40" t="s">
        <v>84</v>
      </c>
      <c r="B97" s="140" t="s">
        <v>250</v>
      </c>
      <c r="C97" s="83">
        <v>0</v>
      </c>
      <c r="D97" s="83">
        <v>0</v>
      </c>
      <c r="E97" s="82">
        <v>0</v>
      </c>
      <c r="F97" s="82">
        <f>SUM(C97:E97)</f>
        <v>0</v>
      </c>
      <c r="G97" s="82">
        <v>0</v>
      </c>
      <c r="H97" s="82">
        <v>0</v>
      </c>
      <c r="I97" s="8">
        <v>149.5</v>
      </c>
      <c r="J97" s="8">
        <v>0</v>
      </c>
      <c r="K97" s="59">
        <f t="shared" si="16"/>
        <v>149.5</v>
      </c>
    </row>
    <row r="98" spans="1:11" ht="14.95" customHeight="1" x14ac:dyDescent="0.25">
      <c r="A98" s="40" t="s">
        <v>252</v>
      </c>
      <c r="B98" s="140" t="s">
        <v>266</v>
      </c>
      <c r="C98" s="83"/>
      <c r="D98" s="83"/>
      <c r="E98" s="82"/>
      <c r="F98" s="82"/>
      <c r="G98" s="82"/>
      <c r="H98" s="82"/>
      <c r="I98" s="8">
        <v>12000</v>
      </c>
      <c r="J98" s="8">
        <v>0</v>
      </c>
      <c r="K98" s="59">
        <f t="shared" si="16"/>
        <v>12000</v>
      </c>
    </row>
    <row r="99" spans="1:11" ht="14.95" customHeight="1" x14ac:dyDescent="0.25">
      <c r="A99" s="40" t="s">
        <v>85</v>
      </c>
      <c r="B99" s="140" t="s">
        <v>250</v>
      </c>
      <c r="C99" s="83">
        <v>0</v>
      </c>
      <c r="D99" s="83">
        <v>0</v>
      </c>
      <c r="E99" s="82">
        <v>0</v>
      </c>
      <c r="F99" s="82">
        <f>SUM(C99:E99)</f>
        <v>0</v>
      </c>
      <c r="G99" s="82">
        <v>0</v>
      </c>
      <c r="H99" s="8">
        <v>0</v>
      </c>
      <c r="I99" s="8">
        <v>1500</v>
      </c>
      <c r="J99" s="8">
        <v>0</v>
      </c>
      <c r="K99" s="59">
        <f t="shared" si="16"/>
        <v>1500</v>
      </c>
    </row>
    <row r="100" spans="1:11" ht="14.95" customHeight="1" x14ac:dyDescent="0.25">
      <c r="A100" s="9" t="s">
        <v>86</v>
      </c>
      <c r="B100" s="140" t="s">
        <v>250</v>
      </c>
      <c r="C100" s="83">
        <v>0</v>
      </c>
      <c r="D100" s="10">
        <v>0</v>
      </c>
      <c r="E100" s="8">
        <v>0</v>
      </c>
      <c r="F100" s="103">
        <f>SUM(C100:E100)</f>
        <v>0</v>
      </c>
      <c r="G100" s="8">
        <v>0</v>
      </c>
      <c r="H100" s="8">
        <v>0</v>
      </c>
      <c r="I100" s="8">
        <v>2200</v>
      </c>
      <c r="J100" s="8">
        <v>0</v>
      </c>
      <c r="K100" s="59">
        <f t="shared" si="16"/>
        <v>2200</v>
      </c>
    </row>
    <row r="101" spans="1:11" ht="26.35" customHeight="1" x14ac:dyDescent="0.25">
      <c r="A101" s="9" t="s">
        <v>87</v>
      </c>
      <c r="B101" s="140" t="s">
        <v>250</v>
      </c>
      <c r="C101" s="10">
        <v>0</v>
      </c>
      <c r="D101" s="10">
        <v>0</v>
      </c>
      <c r="E101" s="8">
        <v>0</v>
      </c>
      <c r="F101" s="103">
        <f>SUM(C101:E101)</f>
        <v>0</v>
      </c>
      <c r="G101" s="8">
        <v>0</v>
      </c>
      <c r="H101" s="8">
        <v>0</v>
      </c>
      <c r="I101" s="8">
        <v>1900</v>
      </c>
      <c r="J101" s="8">
        <v>0</v>
      </c>
      <c r="K101" s="59">
        <f t="shared" si="16"/>
        <v>1900</v>
      </c>
    </row>
    <row r="102" spans="1:11" ht="27.7" customHeight="1" x14ac:dyDescent="0.25">
      <c r="A102" s="19" t="s">
        <v>225</v>
      </c>
      <c r="B102" s="140" t="s">
        <v>250</v>
      </c>
      <c r="C102" s="57">
        <v>0</v>
      </c>
      <c r="D102" s="57">
        <v>0</v>
      </c>
      <c r="E102" s="58">
        <v>0</v>
      </c>
      <c r="F102" s="103">
        <f>SUM(C102:E102)</f>
        <v>0</v>
      </c>
      <c r="G102" s="8">
        <v>0</v>
      </c>
      <c r="H102" s="8">
        <v>0</v>
      </c>
      <c r="I102" s="8">
        <v>300</v>
      </c>
      <c r="J102" s="8">
        <v>0</v>
      </c>
      <c r="K102" s="59">
        <f t="shared" si="16"/>
        <v>300</v>
      </c>
    </row>
    <row r="103" spans="1:11" ht="24.8" customHeight="1" x14ac:dyDescent="0.25">
      <c r="A103" s="9" t="s">
        <v>248</v>
      </c>
      <c r="B103" s="140" t="s">
        <v>250</v>
      </c>
      <c r="C103" s="57"/>
      <c r="D103" s="57"/>
      <c r="E103" s="58"/>
      <c r="F103" s="103"/>
      <c r="G103" s="8"/>
      <c r="H103" s="8"/>
      <c r="I103" s="8">
        <v>200</v>
      </c>
      <c r="J103" s="8">
        <v>0</v>
      </c>
      <c r="K103" s="59">
        <f t="shared" si="16"/>
        <v>200</v>
      </c>
    </row>
    <row r="104" spans="1:11" ht="14.95" customHeight="1" x14ac:dyDescent="0.25">
      <c r="A104" s="9" t="s">
        <v>249</v>
      </c>
      <c r="B104" s="140" t="s">
        <v>251</v>
      </c>
      <c r="C104" s="57"/>
      <c r="D104" s="57"/>
      <c r="E104" s="58"/>
      <c r="F104" s="103"/>
      <c r="G104" s="8"/>
      <c r="H104" s="8"/>
      <c r="I104" s="8">
        <v>300</v>
      </c>
      <c r="J104" s="8">
        <v>0</v>
      </c>
      <c r="K104" s="59">
        <f t="shared" si="16"/>
        <v>300</v>
      </c>
    </row>
    <row r="105" spans="1:11" ht="24.8" customHeight="1" x14ac:dyDescent="0.25">
      <c r="A105" s="19" t="s">
        <v>211</v>
      </c>
      <c r="B105" s="140" t="s">
        <v>250</v>
      </c>
      <c r="C105" s="57">
        <v>0</v>
      </c>
      <c r="D105" s="57">
        <v>0</v>
      </c>
      <c r="E105" s="58">
        <v>0</v>
      </c>
      <c r="F105" s="103">
        <f t="shared" ref="F105:F113" si="18">SUM(C105:E105)</f>
        <v>0</v>
      </c>
      <c r="G105" s="8">
        <v>0</v>
      </c>
      <c r="H105" s="8">
        <v>0</v>
      </c>
      <c r="I105" s="8">
        <v>575</v>
      </c>
      <c r="J105" s="8">
        <v>0</v>
      </c>
      <c r="K105" s="59">
        <f t="shared" si="16"/>
        <v>575</v>
      </c>
    </row>
    <row r="106" spans="1:11" ht="25.5" customHeight="1" x14ac:dyDescent="0.25">
      <c r="A106" s="19" t="s">
        <v>212</v>
      </c>
      <c r="B106" s="140" t="s">
        <v>250</v>
      </c>
      <c r="C106" s="57">
        <v>0</v>
      </c>
      <c r="D106" s="57">
        <v>0</v>
      </c>
      <c r="E106" s="58">
        <v>0</v>
      </c>
      <c r="F106" s="103">
        <f t="shared" si="18"/>
        <v>0</v>
      </c>
      <c r="G106" s="8">
        <v>0</v>
      </c>
      <c r="H106" s="8">
        <v>0</v>
      </c>
      <c r="I106" s="8">
        <v>195</v>
      </c>
      <c r="J106" s="8">
        <v>0</v>
      </c>
      <c r="K106" s="59">
        <f t="shared" si="16"/>
        <v>195</v>
      </c>
    </row>
    <row r="107" spans="1:11" ht="14.95" customHeight="1" x14ac:dyDescent="0.25">
      <c r="A107" s="9" t="s">
        <v>88</v>
      </c>
      <c r="B107" s="140" t="s">
        <v>250</v>
      </c>
      <c r="C107" s="10">
        <v>0</v>
      </c>
      <c r="D107" s="10">
        <v>0</v>
      </c>
      <c r="E107" s="8">
        <v>0</v>
      </c>
      <c r="F107" s="103">
        <f t="shared" si="18"/>
        <v>0</v>
      </c>
      <c r="G107" s="8">
        <v>0</v>
      </c>
      <c r="H107" s="8">
        <v>0</v>
      </c>
      <c r="I107" s="8">
        <v>80</v>
      </c>
      <c r="J107" s="8">
        <v>0</v>
      </c>
      <c r="K107" s="59">
        <f t="shared" si="16"/>
        <v>80</v>
      </c>
    </row>
    <row r="108" spans="1:11" ht="14.95" customHeight="1" x14ac:dyDescent="0.25">
      <c r="A108" s="9" t="s">
        <v>89</v>
      </c>
      <c r="B108" s="140" t="s">
        <v>250</v>
      </c>
      <c r="C108" s="10">
        <v>0</v>
      </c>
      <c r="D108" s="10">
        <v>0</v>
      </c>
      <c r="E108" s="8">
        <v>0</v>
      </c>
      <c r="F108" s="103">
        <f t="shared" si="18"/>
        <v>0</v>
      </c>
      <c r="G108" s="8">
        <v>0</v>
      </c>
      <c r="H108" s="8">
        <v>0</v>
      </c>
      <c r="I108" s="8">
        <v>2400</v>
      </c>
      <c r="J108" s="8">
        <v>0</v>
      </c>
      <c r="K108" s="59">
        <f t="shared" si="16"/>
        <v>2400</v>
      </c>
    </row>
    <row r="109" spans="1:11" ht="15.65" customHeight="1" x14ac:dyDescent="0.25">
      <c r="A109" s="41" t="s">
        <v>99</v>
      </c>
      <c r="B109" s="140" t="s">
        <v>250</v>
      </c>
      <c r="C109" s="10">
        <v>0</v>
      </c>
      <c r="D109" s="10">
        <v>0</v>
      </c>
      <c r="E109" s="8">
        <v>0</v>
      </c>
      <c r="F109" s="103">
        <f t="shared" si="18"/>
        <v>0</v>
      </c>
      <c r="G109" s="8">
        <v>0</v>
      </c>
      <c r="H109" s="8">
        <v>0</v>
      </c>
      <c r="I109" s="8">
        <v>2400</v>
      </c>
      <c r="J109" s="8">
        <v>0</v>
      </c>
      <c r="K109" s="59">
        <f t="shared" si="16"/>
        <v>2400</v>
      </c>
    </row>
    <row r="110" spans="1:11" ht="26.5" customHeight="1" x14ac:dyDescent="0.25">
      <c r="A110" s="9" t="s">
        <v>90</v>
      </c>
      <c r="B110" s="140" t="s">
        <v>250</v>
      </c>
      <c r="C110" s="10">
        <v>0</v>
      </c>
      <c r="D110" s="10">
        <v>0</v>
      </c>
      <c r="E110" s="8">
        <v>0</v>
      </c>
      <c r="F110" s="103">
        <f t="shared" si="18"/>
        <v>0</v>
      </c>
      <c r="G110" s="8">
        <v>0</v>
      </c>
      <c r="H110" s="8">
        <v>0</v>
      </c>
      <c r="I110" s="8">
        <v>100</v>
      </c>
      <c r="J110" s="8">
        <v>0</v>
      </c>
      <c r="K110" s="59">
        <f t="shared" si="16"/>
        <v>100</v>
      </c>
    </row>
    <row r="111" spans="1:11" ht="14.95" customHeight="1" x14ac:dyDescent="0.25">
      <c r="A111" s="9" t="s">
        <v>91</v>
      </c>
      <c r="B111" s="140" t="s">
        <v>250</v>
      </c>
      <c r="C111" s="10">
        <v>0</v>
      </c>
      <c r="D111" s="10">
        <v>0</v>
      </c>
      <c r="E111" s="8">
        <v>0</v>
      </c>
      <c r="F111" s="103">
        <f t="shared" si="18"/>
        <v>0</v>
      </c>
      <c r="G111" s="8">
        <v>0</v>
      </c>
      <c r="H111" s="8">
        <v>0</v>
      </c>
      <c r="I111" s="8">
        <v>100</v>
      </c>
      <c r="J111" s="8">
        <v>0</v>
      </c>
      <c r="K111" s="59">
        <f t="shared" si="16"/>
        <v>100</v>
      </c>
    </row>
    <row r="112" spans="1:11" ht="14.95" customHeight="1" x14ac:dyDescent="0.25">
      <c r="A112" s="9" t="s">
        <v>92</v>
      </c>
      <c r="B112" s="140" t="s">
        <v>250</v>
      </c>
      <c r="C112" s="10">
        <v>0</v>
      </c>
      <c r="D112" s="10">
        <v>0</v>
      </c>
      <c r="E112" s="8">
        <v>0</v>
      </c>
      <c r="F112" s="103">
        <f t="shared" si="18"/>
        <v>0</v>
      </c>
      <c r="G112" s="8">
        <v>0</v>
      </c>
      <c r="H112" s="8">
        <v>0</v>
      </c>
      <c r="I112" s="8">
        <v>2400</v>
      </c>
      <c r="J112" s="8">
        <v>0</v>
      </c>
      <c r="K112" s="59">
        <f t="shared" si="16"/>
        <v>2400</v>
      </c>
    </row>
    <row r="113" spans="1:11" ht="17.149999999999999" customHeight="1" x14ac:dyDescent="0.25">
      <c r="A113" s="9" t="s">
        <v>93</v>
      </c>
      <c r="B113" s="140" t="s">
        <v>250</v>
      </c>
      <c r="C113" s="10">
        <v>0</v>
      </c>
      <c r="D113" s="10">
        <v>0</v>
      </c>
      <c r="E113" s="8">
        <v>0</v>
      </c>
      <c r="F113" s="103">
        <f t="shared" si="18"/>
        <v>0</v>
      </c>
      <c r="G113" s="8">
        <v>0</v>
      </c>
      <c r="H113" s="8">
        <v>0</v>
      </c>
      <c r="I113" s="8">
        <v>2400</v>
      </c>
      <c r="J113" s="8">
        <v>0</v>
      </c>
      <c r="K113" s="59">
        <f t="shared" si="16"/>
        <v>2400</v>
      </c>
    </row>
    <row r="114" spans="1:11" ht="18.350000000000001" customHeight="1" x14ac:dyDescent="0.25">
      <c r="A114" s="9" t="s">
        <v>246</v>
      </c>
      <c r="B114" s="140" t="s">
        <v>250</v>
      </c>
      <c r="C114" s="10"/>
      <c r="D114" s="10"/>
      <c r="E114" s="8"/>
      <c r="F114" s="103"/>
      <c r="G114" s="8"/>
      <c r="H114" s="8"/>
      <c r="I114" s="86">
        <v>1200</v>
      </c>
      <c r="J114" s="8">
        <v>0</v>
      </c>
      <c r="K114" s="59">
        <f t="shared" si="16"/>
        <v>1200</v>
      </c>
    </row>
    <row r="115" spans="1:11" ht="25.15" customHeight="1" x14ac:dyDescent="0.25">
      <c r="A115" s="9" t="s">
        <v>229</v>
      </c>
      <c r="B115" s="140" t="s">
        <v>250</v>
      </c>
      <c r="C115" s="10">
        <f>40</f>
        <v>40</v>
      </c>
      <c r="D115" s="10">
        <v>0</v>
      </c>
      <c r="E115" s="8">
        <v>0</v>
      </c>
      <c r="F115" s="103">
        <f>SUM(C115:E115)</f>
        <v>40</v>
      </c>
      <c r="G115" s="8">
        <v>0</v>
      </c>
      <c r="H115" s="8">
        <v>0</v>
      </c>
      <c r="I115" s="8">
        <v>40</v>
      </c>
      <c r="J115" s="8">
        <v>0</v>
      </c>
      <c r="K115" s="59">
        <f t="shared" si="16"/>
        <v>40</v>
      </c>
    </row>
    <row r="116" spans="1:11" ht="14.95" customHeight="1" x14ac:dyDescent="0.25">
      <c r="A116" s="9" t="s">
        <v>227</v>
      </c>
      <c r="B116" s="140" t="s">
        <v>250</v>
      </c>
      <c r="C116" s="10">
        <f>16</f>
        <v>16</v>
      </c>
      <c r="D116" s="10">
        <v>0</v>
      </c>
      <c r="E116" s="8">
        <v>0</v>
      </c>
      <c r="F116" s="103">
        <f>SUM(C116:E116)</f>
        <v>16</v>
      </c>
      <c r="G116" s="8">
        <v>0</v>
      </c>
      <c r="H116" s="8">
        <v>0</v>
      </c>
      <c r="I116" s="8">
        <v>16</v>
      </c>
      <c r="J116" s="8">
        <v>0</v>
      </c>
      <c r="K116" s="59">
        <f t="shared" si="16"/>
        <v>16</v>
      </c>
    </row>
    <row r="117" spans="1:11" ht="14.95" customHeight="1" x14ac:dyDescent="0.25">
      <c r="A117" s="9" t="s">
        <v>260</v>
      </c>
      <c r="B117" s="34" t="s">
        <v>250</v>
      </c>
      <c r="C117" s="10">
        <f>20</f>
        <v>20</v>
      </c>
      <c r="D117" s="10">
        <v>0</v>
      </c>
      <c r="E117" s="8">
        <v>0</v>
      </c>
      <c r="F117" s="103">
        <f>SUM(C117:E117)</f>
        <v>20</v>
      </c>
      <c r="G117" s="8">
        <v>0</v>
      </c>
      <c r="H117" s="8">
        <v>0</v>
      </c>
      <c r="I117" s="8">
        <v>20</v>
      </c>
      <c r="J117" s="8">
        <v>0</v>
      </c>
      <c r="K117" s="59">
        <f t="shared" si="16"/>
        <v>20</v>
      </c>
    </row>
    <row r="118" spans="1:11" ht="14.95" customHeight="1" x14ac:dyDescent="0.25">
      <c r="A118" s="9" t="s">
        <v>261</v>
      </c>
      <c r="B118" s="34" t="s">
        <v>250</v>
      </c>
      <c r="C118" s="10">
        <f>5</f>
        <v>5</v>
      </c>
      <c r="D118" s="10">
        <v>0</v>
      </c>
      <c r="E118" s="8">
        <v>0</v>
      </c>
      <c r="F118" s="103">
        <f>SUM(C118:E118)</f>
        <v>5</v>
      </c>
      <c r="G118" s="8">
        <v>0</v>
      </c>
      <c r="H118" s="8">
        <v>0</v>
      </c>
      <c r="I118" s="8">
        <v>10</v>
      </c>
      <c r="J118" s="8">
        <v>0</v>
      </c>
      <c r="K118" s="59">
        <f t="shared" si="16"/>
        <v>10</v>
      </c>
    </row>
    <row r="119" spans="1:11" ht="27.2" x14ac:dyDescent="0.25">
      <c r="A119" s="9" t="s">
        <v>241</v>
      </c>
      <c r="B119" s="140" t="s">
        <v>250</v>
      </c>
      <c r="C119" s="10"/>
      <c r="D119" s="10"/>
      <c r="E119" s="8"/>
      <c r="F119" s="103">
        <v>0</v>
      </c>
      <c r="G119" s="8">
        <v>0</v>
      </c>
      <c r="H119" s="8">
        <f>14</f>
        <v>14</v>
      </c>
      <c r="I119" s="8">
        <v>100</v>
      </c>
      <c r="J119" s="8">
        <v>0</v>
      </c>
      <c r="K119" s="59">
        <f t="shared" si="16"/>
        <v>100</v>
      </c>
    </row>
    <row r="120" spans="1:11" x14ac:dyDescent="0.25">
      <c r="A120" s="9" t="s">
        <v>245</v>
      </c>
      <c r="B120" s="140" t="s">
        <v>250</v>
      </c>
      <c r="C120" s="10"/>
      <c r="D120" s="10"/>
      <c r="E120" s="8"/>
      <c r="F120" s="103"/>
      <c r="G120" s="8"/>
      <c r="H120" s="8"/>
      <c r="I120" s="86">
        <v>100</v>
      </c>
      <c r="J120" s="8">
        <v>0</v>
      </c>
      <c r="K120" s="59">
        <f t="shared" si="16"/>
        <v>100</v>
      </c>
    </row>
    <row r="121" spans="1:11" ht="14.95" customHeight="1" x14ac:dyDescent="0.25">
      <c r="A121" s="9" t="s">
        <v>94</v>
      </c>
      <c r="B121" s="140" t="s">
        <v>250</v>
      </c>
      <c r="C121" s="10">
        <v>0</v>
      </c>
      <c r="D121" s="10">
        <v>0</v>
      </c>
      <c r="E121" s="8">
        <v>0</v>
      </c>
      <c r="F121" s="103">
        <f t="shared" ref="F121:F126" si="19">SUM(C121:E121)</f>
        <v>0</v>
      </c>
      <c r="G121" s="8">
        <v>0</v>
      </c>
      <c r="H121" s="8">
        <v>0</v>
      </c>
      <c r="I121" s="8">
        <v>500</v>
      </c>
      <c r="J121" s="8">
        <v>0</v>
      </c>
      <c r="K121" s="59">
        <f t="shared" si="16"/>
        <v>500</v>
      </c>
    </row>
    <row r="122" spans="1:11" ht="14.95" customHeight="1" x14ac:dyDescent="0.25">
      <c r="A122" s="9" t="s">
        <v>95</v>
      </c>
      <c r="B122" s="140" t="s">
        <v>250</v>
      </c>
      <c r="C122" s="10">
        <v>0</v>
      </c>
      <c r="D122" s="10">
        <v>0</v>
      </c>
      <c r="E122" s="8">
        <v>0</v>
      </c>
      <c r="F122" s="103">
        <f t="shared" si="19"/>
        <v>0</v>
      </c>
      <c r="G122" s="8">
        <v>0</v>
      </c>
      <c r="H122" s="8">
        <v>0</v>
      </c>
      <c r="I122" s="8">
        <v>300</v>
      </c>
      <c r="J122" s="8">
        <v>0</v>
      </c>
      <c r="K122" s="59">
        <f t="shared" si="16"/>
        <v>300</v>
      </c>
    </row>
    <row r="123" spans="1:11" ht="27.7" customHeight="1" x14ac:dyDescent="0.25">
      <c r="A123" s="9" t="s">
        <v>269</v>
      </c>
      <c r="B123" s="140" t="s">
        <v>250</v>
      </c>
      <c r="C123" s="10">
        <f>10</f>
        <v>10</v>
      </c>
      <c r="D123" s="10">
        <v>0</v>
      </c>
      <c r="E123" s="8">
        <v>0</v>
      </c>
      <c r="F123" s="103">
        <f t="shared" si="19"/>
        <v>10</v>
      </c>
      <c r="G123" s="8">
        <v>0</v>
      </c>
      <c r="H123" s="8">
        <v>0</v>
      </c>
      <c r="I123" s="8">
        <v>15</v>
      </c>
      <c r="J123" s="8">
        <v>0</v>
      </c>
      <c r="K123" s="59">
        <f t="shared" si="16"/>
        <v>15</v>
      </c>
    </row>
    <row r="124" spans="1:11" ht="27.7" customHeight="1" x14ac:dyDescent="0.25">
      <c r="A124" s="9" t="s">
        <v>228</v>
      </c>
      <c r="B124" s="140" t="s">
        <v>250</v>
      </c>
      <c r="C124" s="10">
        <f>10</f>
        <v>10</v>
      </c>
      <c r="D124" s="10">
        <v>0</v>
      </c>
      <c r="E124" s="8">
        <v>0</v>
      </c>
      <c r="F124" s="103">
        <f t="shared" si="19"/>
        <v>10</v>
      </c>
      <c r="G124" s="8">
        <v>0</v>
      </c>
      <c r="H124" s="8">
        <v>0</v>
      </c>
      <c r="I124" s="8">
        <v>20</v>
      </c>
      <c r="J124" s="8">
        <v>0</v>
      </c>
      <c r="K124" s="59">
        <f t="shared" si="16"/>
        <v>20</v>
      </c>
    </row>
    <row r="125" spans="1:11" ht="14.95" customHeight="1" x14ac:dyDescent="0.25">
      <c r="A125" s="35" t="s">
        <v>96</v>
      </c>
      <c r="B125" s="140" t="s">
        <v>250</v>
      </c>
      <c r="C125" s="10">
        <v>0</v>
      </c>
      <c r="D125" s="10">
        <v>0</v>
      </c>
      <c r="E125" s="8">
        <v>0</v>
      </c>
      <c r="F125" s="103">
        <f t="shared" si="19"/>
        <v>0</v>
      </c>
      <c r="G125" s="8">
        <v>0</v>
      </c>
      <c r="H125" s="8">
        <v>0</v>
      </c>
      <c r="I125" s="8">
        <v>700</v>
      </c>
      <c r="J125" s="8">
        <v>0</v>
      </c>
      <c r="K125" s="59">
        <f t="shared" ref="K125:K173" si="20">SUM(I125:J125)</f>
        <v>700</v>
      </c>
    </row>
    <row r="126" spans="1:11" ht="14.95" customHeight="1" x14ac:dyDescent="0.25">
      <c r="A126" s="35" t="s">
        <v>97</v>
      </c>
      <c r="B126" s="140" t="s">
        <v>250</v>
      </c>
      <c r="C126" s="10">
        <v>0</v>
      </c>
      <c r="D126" s="10">
        <v>0</v>
      </c>
      <c r="E126" s="8">
        <v>0</v>
      </c>
      <c r="F126" s="103">
        <f t="shared" si="19"/>
        <v>0</v>
      </c>
      <c r="G126" s="8">
        <v>0</v>
      </c>
      <c r="H126" s="8">
        <v>0</v>
      </c>
      <c r="I126" s="8">
        <v>60</v>
      </c>
      <c r="J126" s="8">
        <v>0</v>
      </c>
      <c r="K126" s="59">
        <f t="shared" si="20"/>
        <v>60</v>
      </c>
    </row>
    <row r="127" spans="1:11" ht="14.95" customHeight="1" x14ac:dyDescent="0.25">
      <c r="A127" s="35" t="s">
        <v>247</v>
      </c>
      <c r="B127" s="140" t="s">
        <v>250</v>
      </c>
      <c r="C127" s="10"/>
      <c r="D127" s="10"/>
      <c r="E127" s="8"/>
      <c r="F127" s="103"/>
      <c r="G127" s="8"/>
      <c r="H127" s="8"/>
      <c r="I127" s="8">
        <v>6.5</v>
      </c>
      <c r="J127" s="8">
        <v>0</v>
      </c>
      <c r="K127" s="59">
        <f t="shared" si="20"/>
        <v>6.5</v>
      </c>
    </row>
    <row r="128" spans="1:11" ht="14.95" customHeight="1" x14ac:dyDescent="0.25">
      <c r="A128" s="9" t="s">
        <v>98</v>
      </c>
      <c r="B128" s="140" t="s">
        <v>250</v>
      </c>
      <c r="C128" s="10">
        <v>0</v>
      </c>
      <c r="D128" s="10">
        <v>0</v>
      </c>
      <c r="E128" s="8">
        <v>0</v>
      </c>
      <c r="F128" s="103">
        <f>SUM(C128:E128)</f>
        <v>0</v>
      </c>
      <c r="G128" s="8">
        <v>0</v>
      </c>
      <c r="H128" s="8">
        <v>0</v>
      </c>
      <c r="I128" s="8">
        <v>650</v>
      </c>
      <c r="J128" s="8">
        <v>0</v>
      </c>
      <c r="K128" s="59">
        <f t="shared" si="20"/>
        <v>650</v>
      </c>
    </row>
    <row r="129" spans="1:11" ht="14.95" customHeight="1" thickBot="1" x14ac:dyDescent="0.3">
      <c r="A129" s="36" t="s">
        <v>100</v>
      </c>
      <c r="B129" s="51"/>
      <c r="C129" s="12">
        <f>-130-107.5</f>
        <v>-237.5</v>
      </c>
      <c r="D129" s="12">
        <v>-4120.04</v>
      </c>
      <c r="E129" s="12">
        <f>67.31+27.5-35-738.84</f>
        <v>-679.03</v>
      </c>
      <c r="F129" s="114">
        <f>SUM(C129:E129)-102.35</f>
        <v>-5138.92</v>
      </c>
      <c r="G129" s="12">
        <v>1388</v>
      </c>
      <c r="H129" s="12">
        <f>-360-14+318.64</f>
        <v>-55.360000000000014</v>
      </c>
      <c r="I129" s="142">
        <v>29346</v>
      </c>
      <c r="J129" s="15">
        <v>0</v>
      </c>
      <c r="K129" s="73">
        <f t="shared" si="20"/>
        <v>29346</v>
      </c>
    </row>
    <row r="130" spans="1:11" ht="15.65" customHeight="1" thickBot="1" x14ac:dyDescent="0.3">
      <c r="A130" s="37" t="s">
        <v>101</v>
      </c>
      <c r="B130" s="32"/>
      <c r="C130" s="24">
        <f t="shared" ref="C130:H130" si="21">SUM(C132:C141)</f>
        <v>63.6</v>
      </c>
      <c r="D130" s="24">
        <f t="shared" si="21"/>
        <v>12032</v>
      </c>
      <c r="E130" s="24">
        <f t="shared" si="21"/>
        <v>9426.0499999999993</v>
      </c>
      <c r="F130" s="113">
        <f t="shared" si="21"/>
        <v>21411.440000000002</v>
      </c>
      <c r="G130" s="24">
        <f t="shared" si="21"/>
        <v>5424.84</v>
      </c>
      <c r="H130" s="24">
        <f t="shared" si="21"/>
        <v>14546.47</v>
      </c>
      <c r="I130" s="24">
        <f>SUM(I132:I141)</f>
        <v>366228.56</v>
      </c>
      <c r="J130" s="24">
        <f>SUM(J132:J141)</f>
        <v>0</v>
      </c>
      <c r="K130" s="167">
        <f t="shared" si="20"/>
        <v>366228.56</v>
      </c>
    </row>
    <row r="131" spans="1:11" ht="14.95" customHeight="1" x14ac:dyDescent="0.25">
      <c r="A131" s="38" t="s">
        <v>24</v>
      </c>
      <c r="B131" s="131"/>
      <c r="C131" s="8"/>
      <c r="D131" s="8"/>
      <c r="E131" s="8"/>
      <c r="F131" s="103"/>
      <c r="G131" s="8"/>
      <c r="H131" s="8"/>
      <c r="I131" s="8"/>
      <c r="J131" s="8"/>
      <c r="K131" s="59"/>
    </row>
    <row r="132" spans="1:11" ht="14.95" customHeight="1" x14ac:dyDescent="0.25">
      <c r="A132" s="35" t="s">
        <v>26</v>
      </c>
      <c r="B132" s="34"/>
      <c r="C132" s="10">
        <f>2.6</f>
        <v>2.6</v>
      </c>
      <c r="D132" s="10">
        <v>6410</v>
      </c>
      <c r="E132" s="10">
        <f>2.6+45.11+4180</f>
        <v>4227.71</v>
      </c>
      <c r="F132" s="103">
        <f>SUM(C132:E132)-110.21</f>
        <v>10530.100000000002</v>
      </c>
      <c r="G132" s="8">
        <v>1543</v>
      </c>
      <c r="H132" s="8">
        <f>13862+34.47</f>
        <v>13896.47</v>
      </c>
      <c r="I132" s="8">
        <v>85621</v>
      </c>
      <c r="J132" s="8">
        <v>0</v>
      </c>
      <c r="K132" s="59">
        <f t="shared" si="20"/>
        <v>85621</v>
      </c>
    </row>
    <row r="133" spans="1:11" ht="14.95" customHeight="1" x14ac:dyDescent="0.25">
      <c r="A133" s="35" t="s">
        <v>203</v>
      </c>
      <c r="B133" s="153" t="s">
        <v>250</v>
      </c>
      <c r="C133" s="10">
        <v>0</v>
      </c>
      <c r="D133" s="10">
        <v>6000</v>
      </c>
      <c r="E133" s="10">
        <v>0</v>
      </c>
      <c r="F133" s="103">
        <f t="shared" ref="F133:F141" si="22">SUM(C133:E133)</f>
        <v>6000</v>
      </c>
      <c r="G133" s="8">
        <v>0</v>
      </c>
      <c r="H133" s="8">
        <v>0</v>
      </c>
      <c r="I133" s="8">
        <v>147429</v>
      </c>
      <c r="J133" s="8">
        <v>0</v>
      </c>
      <c r="K133" s="59">
        <f t="shared" si="20"/>
        <v>147429</v>
      </c>
    </row>
    <row r="134" spans="1:11" ht="14.95" customHeight="1" x14ac:dyDescent="0.25">
      <c r="A134" s="35" t="s">
        <v>204</v>
      </c>
      <c r="B134" s="153" t="s">
        <v>250</v>
      </c>
      <c r="C134" s="10">
        <v>0</v>
      </c>
      <c r="D134" s="10">
        <v>0</v>
      </c>
      <c r="E134" s="10">
        <f>1965.34</f>
        <v>1965.34</v>
      </c>
      <c r="F134" s="103">
        <f t="shared" si="22"/>
        <v>1965.34</v>
      </c>
      <c r="G134" s="8">
        <v>0</v>
      </c>
      <c r="H134" s="8">
        <v>0</v>
      </c>
      <c r="I134" s="8">
        <v>29600</v>
      </c>
      <c r="J134" s="8">
        <v>0</v>
      </c>
      <c r="K134" s="59">
        <f t="shared" si="20"/>
        <v>29600</v>
      </c>
    </row>
    <row r="135" spans="1:11" ht="14.95" customHeight="1" x14ac:dyDescent="0.25">
      <c r="A135" s="35" t="s">
        <v>102</v>
      </c>
      <c r="B135" s="153" t="s">
        <v>250</v>
      </c>
      <c r="C135" s="10">
        <v>0</v>
      </c>
      <c r="D135" s="10">
        <v>0</v>
      </c>
      <c r="E135" s="10">
        <v>0</v>
      </c>
      <c r="F135" s="103">
        <f t="shared" si="22"/>
        <v>0</v>
      </c>
      <c r="G135" s="8">
        <v>0</v>
      </c>
      <c r="H135" s="8">
        <v>0</v>
      </c>
      <c r="I135" s="8">
        <v>245</v>
      </c>
      <c r="J135" s="8">
        <v>0</v>
      </c>
      <c r="K135" s="59">
        <f t="shared" si="20"/>
        <v>245</v>
      </c>
    </row>
    <row r="136" spans="1:11" ht="14.95" customHeight="1" x14ac:dyDescent="0.25">
      <c r="A136" s="35" t="s">
        <v>103</v>
      </c>
      <c r="B136" s="153" t="s">
        <v>250</v>
      </c>
      <c r="C136" s="10">
        <v>0</v>
      </c>
      <c r="D136" s="10">
        <v>0</v>
      </c>
      <c r="E136" s="10">
        <v>0</v>
      </c>
      <c r="F136" s="103">
        <f t="shared" si="22"/>
        <v>0</v>
      </c>
      <c r="G136" s="8">
        <v>0</v>
      </c>
      <c r="H136" s="8">
        <v>0</v>
      </c>
      <c r="I136" s="8">
        <v>204</v>
      </c>
      <c r="J136" s="8">
        <v>0</v>
      </c>
      <c r="K136" s="59">
        <f t="shared" si="20"/>
        <v>204</v>
      </c>
    </row>
    <row r="137" spans="1:11" ht="14.95" customHeight="1" x14ac:dyDescent="0.25">
      <c r="A137" s="35" t="s">
        <v>104</v>
      </c>
      <c r="B137" s="153" t="s">
        <v>250</v>
      </c>
      <c r="C137" s="10">
        <v>0</v>
      </c>
      <c r="D137" s="10">
        <v>0</v>
      </c>
      <c r="E137" s="10">
        <v>0</v>
      </c>
      <c r="F137" s="103">
        <f t="shared" si="22"/>
        <v>0</v>
      </c>
      <c r="G137" s="8">
        <v>0</v>
      </c>
      <c r="H137" s="8">
        <v>0</v>
      </c>
      <c r="I137" s="8">
        <v>1126</v>
      </c>
      <c r="J137" s="8">
        <v>0</v>
      </c>
      <c r="K137" s="59">
        <f t="shared" si="20"/>
        <v>1126</v>
      </c>
    </row>
    <row r="138" spans="1:11" ht="14.95" customHeight="1" x14ac:dyDescent="0.25">
      <c r="A138" s="35" t="s">
        <v>105</v>
      </c>
      <c r="B138" s="153" t="s">
        <v>250</v>
      </c>
      <c r="C138" s="10">
        <v>0</v>
      </c>
      <c r="D138" s="10">
        <v>0</v>
      </c>
      <c r="E138" s="10">
        <v>0</v>
      </c>
      <c r="F138" s="103">
        <f t="shared" si="22"/>
        <v>0</v>
      </c>
      <c r="G138" s="8">
        <v>0</v>
      </c>
      <c r="H138" s="8">
        <v>0</v>
      </c>
      <c r="I138" s="8">
        <v>298</v>
      </c>
      <c r="J138" s="8">
        <v>0</v>
      </c>
      <c r="K138" s="59">
        <f t="shared" si="20"/>
        <v>298</v>
      </c>
    </row>
    <row r="139" spans="1:11" ht="28.55" customHeight="1" x14ac:dyDescent="0.25">
      <c r="A139" s="9" t="s">
        <v>106</v>
      </c>
      <c r="B139" s="153" t="s">
        <v>250</v>
      </c>
      <c r="C139" s="10">
        <v>0</v>
      </c>
      <c r="D139" s="10">
        <v>0</v>
      </c>
      <c r="E139" s="10">
        <v>0</v>
      </c>
      <c r="F139" s="103">
        <f t="shared" si="22"/>
        <v>0</v>
      </c>
      <c r="G139" s="8">
        <v>0</v>
      </c>
      <c r="H139" s="8">
        <v>0</v>
      </c>
      <c r="I139" s="8">
        <v>162</v>
      </c>
      <c r="J139" s="8">
        <v>0</v>
      </c>
      <c r="K139" s="59">
        <f t="shared" si="20"/>
        <v>162</v>
      </c>
    </row>
    <row r="140" spans="1:11" ht="26.5" customHeight="1" x14ac:dyDescent="0.25">
      <c r="A140" s="9" t="s">
        <v>272</v>
      </c>
      <c r="B140" s="34"/>
      <c r="C140" s="10">
        <v>0</v>
      </c>
      <c r="D140" s="10">
        <v>-930</v>
      </c>
      <c r="E140" s="10">
        <v>0</v>
      </c>
      <c r="F140" s="103">
        <f t="shared" si="22"/>
        <v>-930</v>
      </c>
      <c r="G140" s="8">
        <v>0</v>
      </c>
      <c r="H140" s="8">
        <v>0</v>
      </c>
      <c r="I140" s="8">
        <v>0</v>
      </c>
      <c r="J140" s="8">
        <v>0</v>
      </c>
      <c r="K140" s="59">
        <f t="shared" si="20"/>
        <v>0</v>
      </c>
    </row>
    <row r="141" spans="1:11" ht="14.95" customHeight="1" thickBot="1" x14ac:dyDescent="0.3">
      <c r="A141" s="11" t="s">
        <v>107</v>
      </c>
      <c r="B141" s="51"/>
      <c r="C141" s="12">
        <f>61</f>
        <v>61</v>
      </c>
      <c r="D141" s="12">
        <v>552</v>
      </c>
      <c r="E141" s="12">
        <f>33+3200</f>
        <v>3233</v>
      </c>
      <c r="F141" s="114">
        <f t="shared" si="22"/>
        <v>3846</v>
      </c>
      <c r="G141" s="12">
        <v>3881.84</v>
      </c>
      <c r="H141" s="12">
        <f>650</f>
        <v>650</v>
      </c>
      <c r="I141" s="12">
        <v>101543.56</v>
      </c>
      <c r="J141" s="15">
        <v>0</v>
      </c>
      <c r="K141" s="73">
        <f t="shared" si="20"/>
        <v>101543.56</v>
      </c>
    </row>
    <row r="142" spans="1:11" ht="15.65" customHeight="1" thickBot="1" x14ac:dyDescent="0.3">
      <c r="A142" s="37" t="s">
        <v>108</v>
      </c>
      <c r="B142" s="32"/>
      <c r="C142" s="24">
        <f t="shared" ref="C142:H142" si="23">SUM(C144:C150)</f>
        <v>0</v>
      </c>
      <c r="D142" s="24">
        <f t="shared" si="23"/>
        <v>4210</v>
      </c>
      <c r="E142" s="24">
        <f t="shared" si="23"/>
        <v>524.67000000000007</v>
      </c>
      <c r="F142" s="113">
        <f t="shared" si="23"/>
        <v>4734.67</v>
      </c>
      <c r="G142" s="24">
        <f t="shared" si="23"/>
        <v>0</v>
      </c>
      <c r="H142" s="24">
        <f t="shared" si="23"/>
        <v>280.10000000000002</v>
      </c>
      <c r="I142" s="24">
        <f>SUM(I144:I150)</f>
        <v>165941</v>
      </c>
      <c r="J142" s="24">
        <f>SUM(J144:J150)</f>
        <v>0</v>
      </c>
      <c r="K142" s="167">
        <f t="shared" si="20"/>
        <v>165941</v>
      </c>
    </row>
    <row r="143" spans="1:11" ht="14.95" customHeight="1" x14ac:dyDescent="0.25">
      <c r="A143" s="38" t="s">
        <v>24</v>
      </c>
      <c r="B143" s="131"/>
      <c r="C143" s="8"/>
      <c r="D143" s="8"/>
      <c r="E143" s="8"/>
      <c r="F143" s="103"/>
      <c r="G143" s="8"/>
      <c r="H143" s="8"/>
      <c r="I143" s="8"/>
      <c r="J143" s="8"/>
      <c r="K143" s="59"/>
    </row>
    <row r="144" spans="1:11" ht="14.95" customHeight="1" x14ac:dyDescent="0.25">
      <c r="A144" s="35" t="s">
        <v>26</v>
      </c>
      <c r="B144" s="34"/>
      <c r="C144" s="10">
        <v>0</v>
      </c>
      <c r="D144" s="10">
        <v>0</v>
      </c>
      <c r="E144" s="10">
        <f>522.2</f>
        <v>522.20000000000005</v>
      </c>
      <c r="F144" s="103">
        <f t="shared" ref="F144:F150" si="24">SUM(C144:E144)</f>
        <v>522.20000000000005</v>
      </c>
      <c r="G144" s="8">
        <v>0</v>
      </c>
      <c r="H144" s="8">
        <f>250+82.54</f>
        <v>332.54</v>
      </c>
      <c r="I144" s="8">
        <v>4240</v>
      </c>
      <c r="J144" s="8">
        <v>0</v>
      </c>
      <c r="K144" s="59">
        <f t="shared" si="20"/>
        <v>4240</v>
      </c>
    </row>
    <row r="145" spans="1:11" ht="27.7" customHeight="1" x14ac:dyDescent="0.25">
      <c r="A145" s="9" t="s">
        <v>109</v>
      </c>
      <c r="B145" s="34" t="s">
        <v>110</v>
      </c>
      <c r="C145" s="10">
        <v>0</v>
      </c>
      <c r="D145" s="10">
        <v>0</v>
      </c>
      <c r="E145" s="10">
        <v>0</v>
      </c>
      <c r="F145" s="103">
        <f t="shared" si="24"/>
        <v>0</v>
      </c>
      <c r="G145" s="8">
        <v>0</v>
      </c>
      <c r="H145" s="8">
        <v>0</v>
      </c>
      <c r="I145" s="8">
        <v>300</v>
      </c>
      <c r="J145" s="8">
        <v>0</v>
      </c>
      <c r="K145" s="59">
        <f t="shared" si="20"/>
        <v>300</v>
      </c>
    </row>
    <row r="146" spans="1:11" ht="14.95" customHeight="1" x14ac:dyDescent="0.25">
      <c r="A146" s="9" t="s">
        <v>213</v>
      </c>
      <c r="B146" s="34" t="s">
        <v>214</v>
      </c>
      <c r="C146" s="10">
        <v>0</v>
      </c>
      <c r="D146" s="10">
        <v>0</v>
      </c>
      <c r="E146" s="10">
        <v>0</v>
      </c>
      <c r="F146" s="103">
        <f t="shared" si="24"/>
        <v>0</v>
      </c>
      <c r="G146" s="8">
        <v>0</v>
      </c>
      <c r="H146" s="8">
        <v>0</v>
      </c>
      <c r="I146" s="8">
        <v>250</v>
      </c>
      <c r="J146" s="8">
        <v>0</v>
      </c>
      <c r="K146" s="59">
        <f t="shared" si="20"/>
        <v>250</v>
      </c>
    </row>
    <row r="147" spans="1:11" ht="14.95" customHeight="1" x14ac:dyDescent="0.25">
      <c r="A147" s="35" t="s">
        <v>111</v>
      </c>
      <c r="B147" s="137"/>
      <c r="C147" s="10">
        <v>0</v>
      </c>
      <c r="D147" s="10">
        <v>0</v>
      </c>
      <c r="E147" s="10">
        <v>0</v>
      </c>
      <c r="F147" s="103">
        <f t="shared" si="24"/>
        <v>0</v>
      </c>
      <c r="G147" s="8">
        <v>0</v>
      </c>
      <c r="H147" s="8">
        <v>0</v>
      </c>
      <c r="I147" s="8">
        <v>10</v>
      </c>
      <c r="J147" s="8">
        <v>0</v>
      </c>
      <c r="K147" s="59">
        <f t="shared" si="20"/>
        <v>10</v>
      </c>
    </row>
    <row r="148" spans="1:11" ht="14.95" customHeight="1" x14ac:dyDescent="0.25">
      <c r="A148" s="35" t="s">
        <v>112</v>
      </c>
      <c r="B148" s="153" t="s">
        <v>267</v>
      </c>
      <c r="C148" s="10">
        <v>0</v>
      </c>
      <c r="D148" s="10">
        <v>20</v>
      </c>
      <c r="E148" s="10">
        <v>0</v>
      </c>
      <c r="F148" s="103">
        <f t="shared" si="24"/>
        <v>20</v>
      </c>
      <c r="G148" s="8">
        <v>0</v>
      </c>
      <c r="H148" s="8">
        <v>0</v>
      </c>
      <c r="I148" s="8">
        <v>200</v>
      </c>
      <c r="J148" s="8">
        <v>0</v>
      </c>
      <c r="K148" s="59">
        <f t="shared" si="20"/>
        <v>200</v>
      </c>
    </row>
    <row r="149" spans="1:11" ht="14.95" customHeight="1" x14ac:dyDescent="0.25">
      <c r="A149" s="35" t="s">
        <v>113</v>
      </c>
      <c r="B149" s="153" t="s">
        <v>267</v>
      </c>
      <c r="C149" s="10">
        <v>0</v>
      </c>
      <c r="D149" s="10">
        <v>190</v>
      </c>
      <c r="E149" s="10">
        <v>0</v>
      </c>
      <c r="F149" s="103">
        <f t="shared" si="24"/>
        <v>190</v>
      </c>
      <c r="G149" s="8">
        <v>0</v>
      </c>
      <c r="H149" s="8">
        <v>0</v>
      </c>
      <c r="I149" s="8">
        <v>1000</v>
      </c>
      <c r="J149" s="8">
        <v>0</v>
      </c>
      <c r="K149" s="59">
        <f t="shared" si="20"/>
        <v>1000</v>
      </c>
    </row>
    <row r="150" spans="1:11" ht="14.95" customHeight="1" thickBot="1" x14ac:dyDescent="0.3">
      <c r="A150" s="11" t="s">
        <v>114</v>
      </c>
      <c r="B150" s="138"/>
      <c r="C150" s="12">
        <v>0</v>
      </c>
      <c r="D150" s="12">
        <v>4000</v>
      </c>
      <c r="E150" s="12">
        <f>2.47</f>
        <v>2.4700000000000002</v>
      </c>
      <c r="F150" s="171">
        <f t="shared" si="24"/>
        <v>4002.47</v>
      </c>
      <c r="G150" s="15">
        <v>0</v>
      </c>
      <c r="H150" s="15">
        <f>22.37+7.73-82.54</f>
        <v>-52.440000000000005</v>
      </c>
      <c r="I150" s="15">
        <v>159941</v>
      </c>
      <c r="J150" s="15">
        <v>0</v>
      </c>
      <c r="K150" s="73">
        <f t="shared" si="20"/>
        <v>159941</v>
      </c>
    </row>
    <row r="151" spans="1:11" ht="15.65" customHeight="1" thickBot="1" x14ac:dyDescent="0.3">
      <c r="A151" s="37" t="s">
        <v>115</v>
      </c>
      <c r="B151" s="32"/>
      <c r="C151" s="24">
        <f t="shared" ref="C151:J151" si="25">SUM(C153:C183)</f>
        <v>76</v>
      </c>
      <c r="D151" s="24">
        <f t="shared" si="25"/>
        <v>45</v>
      </c>
      <c r="E151" s="24">
        <f t="shared" si="25"/>
        <v>-165</v>
      </c>
      <c r="F151" s="113">
        <f t="shared" si="25"/>
        <v>-41</v>
      </c>
      <c r="G151" s="24">
        <f t="shared" si="25"/>
        <v>0</v>
      </c>
      <c r="H151" s="24">
        <f t="shared" si="25"/>
        <v>10.150000000000006</v>
      </c>
      <c r="I151" s="24">
        <f t="shared" si="25"/>
        <v>165761</v>
      </c>
      <c r="J151" s="24">
        <f t="shared" si="25"/>
        <v>0</v>
      </c>
      <c r="K151" s="167">
        <f t="shared" si="20"/>
        <v>165761</v>
      </c>
    </row>
    <row r="152" spans="1:11" ht="14.95" customHeight="1" x14ac:dyDescent="0.25">
      <c r="A152" s="38" t="s">
        <v>24</v>
      </c>
      <c r="B152" s="131"/>
      <c r="C152" s="8"/>
      <c r="D152" s="8"/>
      <c r="E152" s="8"/>
      <c r="F152" s="103"/>
      <c r="G152" s="8"/>
      <c r="H152" s="8"/>
      <c r="I152" s="8"/>
      <c r="J152" s="8"/>
      <c r="K152" s="59"/>
    </row>
    <row r="153" spans="1:11" ht="17.149999999999999" customHeight="1" x14ac:dyDescent="0.25">
      <c r="A153" s="35" t="s">
        <v>215</v>
      </c>
      <c r="B153" s="34" t="s">
        <v>143</v>
      </c>
      <c r="C153" s="10">
        <v>0</v>
      </c>
      <c r="D153" s="10">
        <v>0</v>
      </c>
      <c r="E153" s="10">
        <v>0</v>
      </c>
      <c r="F153" s="103">
        <f t="shared" ref="F153:F173" si="26">SUM(C153:E153)</f>
        <v>0</v>
      </c>
      <c r="G153" s="8">
        <v>-170.3</v>
      </c>
      <c r="H153" s="8">
        <v>0</v>
      </c>
      <c r="I153" s="8">
        <v>950</v>
      </c>
      <c r="J153" s="8">
        <v>0</v>
      </c>
      <c r="K153" s="59">
        <f t="shared" si="20"/>
        <v>950</v>
      </c>
    </row>
    <row r="154" spans="1:11" ht="17.7" customHeight="1" x14ac:dyDescent="0.25">
      <c r="A154" s="35" t="s">
        <v>216</v>
      </c>
      <c r="B154" s="34" t="s">
        <v>142</v>
      </c>
      <c r="C154" s="10">
        <v>0</v>
      </c>
      <c r="D154" s="10">
        <v>0</v>
      </c>
      <c r="E154" s="10">
        <v>0</v>
      </c>
      <c r="F154" s="103">
        <f t="shared" si="26"/>
        <v>0</v>
      </c>
      <c r="G154" s="8">
        <v>0</v>
      </c>
      <c r="H154" s="8">
        <v>0</v>
      </c>
      <c r="I154" s="8">
        <v>27400</v>
      </c>
      <c r="J154" s="8">
        <v>0</v>
      </c>
      <c r="K154" s="59">
        <f t="shared" si="20"/>
        <v>27400</v>
      </c>
    </row>
    <row r="155" spans="1:11" ht="26.15" customHeight="1" x14ac:dyDescent="0.25">
      <c r="A155" s="9" t="s">
        <v>217</v>
      </c>
      <c r="B155" s="34" t="s">
        <v>117</v>
      </c>
      <c r="C155" s="10">
        <v>0</v>
      </c>
      <c r="D155" s="10">
        <v>0</v>
      </c>
      <c r="E155" s="10">
        <v>0</v>
      </c>
      <c r="F155" s="103">
        <f t="shared" si="26"/>
        <v>0</v>
      </c>
      <c r="G155" s="8">
        <v>-430</v>
      </c>
      <c r="H155" s="8">
        <v>0</v>
      </c>
      <c r="I155" s="8">
        <v>1000</v>
      </c>
      <c r="J155" s="8">
        <v>0</v>
      </c>
      <c r="K155" s="59">
        <f t="shared" si="20"/>
        <v>1000</v>
      </c>
    </row>
    <row r="156" spans="1:11" ht="27" customHeight="1" x14ac:dyDescent="0.25">
      <c r="A156" s="9" t="s">
        <v>218</v>
      </c>
      <c r="B156" s="34" t="s">
        <v>118</v>
      </c>
      <c r="C156" s="10">
        <v>0</v>
      </c>
      <c r="D156" s="10">
        <v>0</v>
      </c>
      <c r="E156" s="10">
        <v>0</v>
      </c>
      <c r="F156" s="103">
        <f t="shared" si="26"/>
        <v>0</v>
      </c>
      <c r="G156" s="8">
        <v>0</v>
      </c>
      <c r="H156" s="8">
        <v>0</v>
      </c>
      <c r="I156" s="8">
        <v>1800</v>
      </c>
      <c r="J156" s="8">
        <v>0</v>
      </c>
      <c r="K156" s="59">
        <f t="shared" si="20"/>
        <v>1800</v>
      </c>
    </row>
    <row r="157" spans="1:11" ht="40.75" customHeight="1" x14ac:dyDescent="0.25">
      <c r="A157" s="9" t="s">
        <v>120</v>
      </c>
      <c r="B157" s="34" t="s">
        <v>250</v>
      </c>
      <c r="C157" s="10">
        <v>0</v>
      </c>
      <c r="D157" s="10">
        <v>3000</v>
      </c>
      <c r="E157" s="10">
        <v>0</v>
      </c>
      <c r="F157" s="103">
        <f t="shared" si="26"/>
        <v>3000</v>
      </c>
      <c r="G157" s="8">
        <v>0</v>
      </c>
      <c r="H157" s="8">
        <v>0</v>
      </c>
      <c r="I157" s="8">
        <v>11900</v>
      </c>
      <c r="J157" s="8">
        <v>0</v>
      </c>
      <c r="K157" s="59">
        <f t="shared" si="20"/>
        <v>11900</v>
      </c>
    </row>
    <row r="158" spans="1:11" ht="14.95" customHeight="1" x14ac:dyDescent="0.25">
      <c r="A158" s="9" t="s">
        <v>205</v>
      </c>
      <c r="B158" s="34" t="s">
        <v>250</v>
      </c>
      <c r="C158" s="10">
        <v>0</v>
      </c>
      <c r="D158" s="10">
        <v>0</v>
      </c>
      <c r="E158" s="10">
        <v>0</v>
      </c>
      <c r="F158" s="103">
        <f t="shared" si="26"/>
        <v>0</v>
      </c>
      <c r="G158" s="8">
        <v>0</v>
      </c>
      <c r="H158" s="8">
        <v>0</v>
      </c>
      <c r="I158" s="8">
        <v>5000</v>
      </c>
      <c r="J158" s="8">
        <v>0</v>
      </c>
      <c r="K158" s="59">
        <f t="shared" si="20"/>
        <v>5000</v>
      </c>
    </row>
    <row r="159" spans="1:11" ht="14.95" customHeight="1" x14ac:dyDescent="0.25">
      <c r="A159" s="35" t="s">
        <v>121</v>
      </c>
      <c r="B159" s="34" t="s">
        <v>250</v>
      </c>
      <c r="C159" s="10">
        <v>0</v>
      </c>
      <c r="D159" s="10">
        <v>45</v>
      </c>
      <c r="E159" s="10">
        <v>0</v>
      </c>
      <c r="F159" s="103">
        <f t="shared" si="26"/>
        <v>45</v>
      </c>
      <c r="G159" s="8">
        <v>0</v>
      </c>
      <c r="H159" s="8">
        <v>0</v>
      </c>
      <c r="I159" s="8">
        <v>6654</v>
      </c>
      <c r="J159" s="8">
        <v>0</v>
      </c>
      <c r="K159" s="59">
        <f t="shared" si="20"/>
        <v>6654</v>
      </c>
    </row>
    <row r="160" spans="1:11" ht="50.3" customHeight="1" x14ac:dyDescent="0.25">
      <c r="A160" s="9" t="s">
        <v>122</v>
      </c>
      <c r="B160" s="34" t="s">
        <v>250</v>
      </c>
      <c r="C160" s="10">
        <v>0</v>
      </c>
      <c r="D160" s="10">
        <v>0</v>
      </c>
      <c r="E160" s="10">
        <v>0</v>
      </c>
      <c r="F160" s="103">
        <f t="shared" si="26"/>
        <v>0</v>
      </c>
      <c r="G160" s="8">
        <v>0</v>
      </c>
      <c r="H160" s="8">
        <v>0</v>
      </c>
      <c r="I160" s="8">
        <v>20500</v>
      </c>
      <c r="J160" s="8">
        <v>0</v>
      </c>
      <c r="K160" s="59">
        <f t="shared" si="20"/>
        <v>20500</v>
      </c>
    </row>
    <row r="161" spans="1:11" ht="14.95" customHeight="1" x14ac:dyDescent="0.25">
      <c r="A161" s="9" t="s">
        <v>207</v>
      </c>
      <c r="B161" s="34" t="s">
        <v>250</v>
      </c>
      <c r="C161" s="10">
        <v>0</v>
      </c>
      <c r="D161" s="10">
        <v>0</v>
      </c>
      <c r="E161" s="10">
        <v>0</v>
      </c>
      <c r="F161" s="103">
        <f t="shared" si="26"/>
        <v>0</v>
      </c>
      <c r="G161" s="8">
        <v>0</v>
      </c>
      <c r="H161" s="8">
        <v>0</v>
      </c>
      <c r="I161" s="8">
        <v>28000</v>
      </c>
      <c r="J161" s="8">
        <v>0</v>
      </c>
      <c r="K161" s="59">
        <f t="shared" si="20"/>
        <v>28000</v>
      </c>
    </row>
    <row r="162" spans="1:11" ht="52.3" customHeight="1" x14ac:dyDescent="0.25">
      <c r="A162" s="9" t="s">
        <v>123</v>
      </c>
      <c r="B162" s="34" t="s">
        <v>250</v>
      </c>
      <c r="C162" s="10">
        <v>0</v>
      </c>
      <c r="D162" s="10">
        <v>0</v>
      </c>
      <c r="E162" s="10">
        <v>0</v>
      </c>
      <c r="F162" s="103">
        <f t="shared" si="26"/>
        <v>0</v>
      </c>
      <c r="G162" s="8">
        <v>0</v>
      </c>
      <c r="H162" s="8">
        <v>0</v>
      </c>
      <c r="I162" s="8">
        <v>15360</v>
      </c>
      <c r="J162" s="8">
        <v>0</v>
      </c>
      <c r="K162" s="59">
        <f t="shared" si="20"/>
        <v>15360</v>
      </c>
    </row>
    <row r="163" spans="1:11" ht="14.95" customHeight="1" x14ac:dyDescent="0.25">
      <c r="A163" s="9" t="s">
        <v>206</v>
      </c>
      <c r="B163" s="34" t="s">
        <v>250</v>
      </c>
      <c r="C163" s="10">
        <v>0</v>
      </c>
      <c r="D163" s="10">
        <v>0</v>
      </c>
      <c r="E163" s="10">
        <v>0</v>
      </c>
      <c r="F163" s="103">
        <f t="shared" si="26"/>
        <v>0</v>
      </c>
      <c r="G163" s="8">
        <v>0</v>
      </c>
      <c r="H163" s="8">
        <v>0</v>
      </c>
      <c r="I163" s="8">
        <v>16000</v>
      </c>
      <c r="J163" s="8">
        <v>0</v>
      </c>
      <c r="K163" s="59">
        <f t="shared" si="20"/>
        <v>16000</v>
      </c>
    </row>
    <row r="164" spans="1:11" ht="54" customHeight="1" x14ac:dyDescent="0.25">
      <c r="A164" s="9" t="s">
        <v>124</v>
      </c>
      <c r="B164" s="34"/>
      <c r="C164" s="10">
        <v>0</v>
      </c>
      <c r="D164" s="10">
        <v>0</v>
      </c>
      <c r="E164" s="10">
        <v>0</v>
      </c>
      <c r="F164" s="103">
        <f t="shared" si="26"/>
        <v>0</v>
      </c>
      <c r="G164" s="8">
        <v>0</v>
      </c>
      <c r="H164" s="8">
        <v>0</v>
      </c>
      <c r="I164" s="8">
        <v>0</v>
      </c>
      <c r="J164" s="8">
        <v>0</v>
      </c>
      <c r="K164" s="59">
        <f t="shared" si="20"/>
        <v>0</v>
      </c>
    </row>
    <row r="165" spans="1:11" ht="54" customHeight="1" x14ac:dyDescent="0.25">
      <c r="A165" s="9" t="s">
        <v>125</v>
      </c>
      <c r="B165" s="34" t="s">
        <v>250</v>
      </c>
      <c r="C165" s="10">
        <v>0</v>
      </c>
      <c r="D165" s="10">
        <v>0</v>
      </c>
      <c r="E165" s="10">
        <v>0</v>
      </c>
      <c r="F165" s="103">
        <f t="shared" si="26"/>
        <v>0</v>
      </c>
      <c r="G165" s="8">
        <v>0</v>
      </c>
      <c r="H165" s="8">
        <v>0</v>
      </c>
      <c r="I165" s="8">
        <v>12000</v>
      </c>
      <c r="J165" s="8">
        <v>0</v>
      </c>
      <c r="K165" s="59">
        <f t="shared" si="20"/>
        <v>12000</v>
      </c>
    </row>
    <row r="166" spans="1:11" ht="14.95" customHeight="1" x14ac:dyDescent="0.25">
      <c r="A166" s="9" t="s">
        <v>208</v>
      </c>
      <c r="B166" s="34" t="s">
        <v>250</v>
      </c>
      <c r="C166" s="10">
        <v>0</v>
      </c>
      <c r="D166" s="10">
        <v>0</v>
      </c>
      <c r="E166" s="10">
        <v>0</v>
      </c>
      <c r="F166" s="103">
        <f t="shared" si="26"/>
        <v>0</v>
      </c>
      <c r="G166" s="8">
        <v>0</v>
      </c>
      <c r="H166" s="8">
        <v>0</v>
      </c>
      <c r="I166" s="8">
        <v>7000</v>
      </c>
      <c r="J166" s="8">
        <v>0</v>
      </c>
      <c r="K166" s="59">
        <f t="shared" si="20"/>
        <v>7000</v>
      </c>
    </row>
    <row r="167" spans="1:11" ht="14.95" customHeight="1" x14ac:dyDescent="0.25">
      <c r="A167" s="9" t="s">
        <v>126</v>
      </c>
      <c r="B167" s="34"/>
      <c r="C167" s="10">
        <v>0</v>
      </c>
      <c r="D167" s="10">
        <v>0</v>
      </c>
      <c r="E167" s="10">
        <v>0</v>
      </c>
      <c r="F167" s="103">
        <f t="shared" si="26"/>
        <v>0</v>
      </c>
      <c r="G167" s="8">
        <v>0</v>
      </c>
      <c r="H167" s="8">
        <v>0</v>
      </c>
      <c r="I167" s="86">
        <v>4.5</v>
      </c>
      <c r="J167" s="8">
        <v>0</v>
      </c>
      <c r="K167" s="59">
        <f t="shared" si="20"/>
        <v>4.5</v>
      </c>
    </row>
    <row r="168" spans="1:11" ht="14.95" customHeight="1" x14ac:dyDescent="0.25">
      <c r="A168" s="9" t="s">
        <v>127</v>
      </c>
      <c r="B168" s="34" t="s">
        <v>253</v>
      </c>
      <c r="C168" s="10">
        <v>0</v>
      </c>
      <c r="D168" s="10">
        <v>0</v>
      </c>
      <c r="E168" s="10">
        <v>0</v>
      </c>
      <c r="F168" s="103">
        <f t="shared" si="26"/>
        <v>0</v>
      </c>
      <c r="G168" s="8">
        <v>0</v>
      </c>
      <c r="H168" s="8">
        <v>0</v>
      </c>
      <c r="I168" s="86">
        <v>20</v>
      </c>
      <c r="J168" s="8">
        <v>0</v>
      </c>
      <c r="K168" s="59">
        <f t="shared" si="20"/>
        <v>20</v>
      </c>
    </row>
    <row r="169" spans="1:11" ht="14.95" customHeight="1" x14ac:dyDescent="0.25">
      <c r="A169" s="9" t="s">
        <v>128</v>
      </c>
      <c r="B169" s="34" t="s">
        <v>253</v>
      </c>
      <c r="C169" s="10">
        <v>0</v>
      </c>
      <c r="D169" s="10">
        <v>0</v>
      </c>
      <c r="E169" s="10">
        <v>0</v>
      </c>
      <c r="F169" s="103">
        <f t="shared" si="26"/>
        <v>0</v>
      </c>
      <c r="G169" s="8">
        <v>0</v>
      </c>
      <c r="H169" s="8">
        <v>0</v>
      </c>
      <c r="I169" s="86">
        <v>15</v>
      </c>
      <c r="J169" s="8">
        <v>0</v>
      </c>
      <c r="K169" s="59">
        <f t="shared" si="20"/>
        <v>15</v>
      </c>
    </row>
    <row r="170" spans="1:11" ht="14.95" customHeight="1" x14ac:dyDescent="0.25">
      <c r="A170" s="35" t="s">
        <v>129</v>
      </c>
      <c r="B170" s="34" t="s">
        <v>253</v>
      </c>
      <c r="C170" s="10">
        <v>0</v>
      </c>
      <c r="D170" s="10">
        <v>0</v>
      </c>
      <c r="E170" s="10">
        <v>0</v>
      </c>
      <c r="F170" s="103">
        <f t="shared" si="26"/>
        <v>0</v>
      </c>
      <c r="G170" s="8">
        <v>0</v>
      </c>
      <c r="H170" s="8">
        <v>0</v>
      </c>
      <c r="I170" s="86">
        <v>100</v>
      </c>
      <c r="J170" s="8">
        <v>0</v>
      </c>
      <c r="K170" s="59">
        <f t="shared" si="20"/>
        <v>100</v>
      </c>
    </row>
    <row r="171" spans="1:11" ht="14.95" customHeight="1" x14ac:dyDescent="0.25">
      <c r="A171" s="35" t="s">
        <v>130</v>
      </c>
      <c r="B171" s="34" t="s">
        <v>250</v>
      </c>
      <c r="C171" s="10">
        <v>0</v>
      </c>
      <c r="D171" s="10">
        <v>0</v>
      </c>
      <c r="E171" s="10">
        <v>0</v>
      </c>
      <c r="F171" s="103">
        <f t="shared" si="26"/>
        <v>0</v>
      </c>
      <c r="G171" s="8">
        <v>0</v>
      </c>
      <c r="H171" s="8">
        <v>0</v>
      </c>
      <c r="I171" s="86">
        <v>1050</v>
      </c>
      <c r="J171" s="8">
        <v>0</v>
      </c>
      <c r="K171" s="59">
        <f t="shared" si="20"/>
        <v>1050</v>
      </c>
    </row>
    <row r="172" spans="1:11" ht="14.95" customHeight="1" x14ac:dyDescent="0.25">
      <c r="A172" s="35" t="s">
        <v>131</v>
      </c>
      <c r="B172" s="34" t="s">
        <v>250</v>
      </c>
      <c r="C172" s="10">
        <v>0</v>
      </c>
      <c r="D172" s="10">
        <v>0</v>
      </c>
      <c r="E172" s="10">
        <v>0</v>
      </c>
      <c r="F172" s="103">
        <f t="shared" si="26"/>
        <v>0</v>
      </c>
      <c r="G172" s="8">
        <v>0</v>
      </c>
      <c r="H172" s="8">
        <v>0</v>
      </c>
      <c r="I172" s="86">
        <v>4200</v>
      </c>
      <c r="J172" s="8">
        <v>0</v>
      </c>
      <c r="K172" s="59">
        <f t="shared" si="20"/>
        <v>4200</v>
      </c>
    </row>
    <row r="173" spans="1:11" ht="14.95" customHeight="1" x14ac:dyDescent="0.25">
      <c r="A173" s="35" t="s">
        <v>132</v>
      </c>
      <c r="B173" s="34" t="s">
        <v>253</v>
      </c>
      <c r="C173" s="10">
        <v>0</v>
      </c>
      <c r="D173" s="10">
        <v>0</v>
      </c>
      <c r="E173" s="10">
        <v>0</v>
      </c>
      <c r="F173" s="103">
        <f t="shared" si="26"/>
        <v>0</v>
      </c>
      <c r="G173" s="8">
        <v>0</v>
      </c>
      <c r="H173" s="8">
        <v>0</v>
      </c>
      <c r="I173" s="86">
        <v>90</v>
      </c>
      <c r="J173" s="8">
        <v>0</v>
      </c>
      <c r="K173" s="59">
        <f t="shared" si="20"/>
        <v>90</v>
      </c>
    </row>
    <row r="174" spans="1:11" ht="14.95" customHeight="1" x14ac:dyDescent="0.25">
      <c r="A174" s="35" t="s">
        <v>133</v>
      </c>
      <c r="B174" s="34" t="s">
        <v>250</v>
      </c>
      <c r="C174" s="10">
        <v>0</v>
      </c>
      <c r="D174" s="10">
        <v>0</v>
      </c>
      <c r="E174" s="10">
        <v>0</v>
      </c>
      <c r="F174" s="103">
        <f>SUM(C174:E174)</f>
        <v>0</v>
      </c>
      <c r="G174" s="8">
        <v>0</v>
      </c>
      <c r="H174" s="8">
        <v>0</v>
      </c>
      <c r="I174" s="86">
        <v>700</v>
      </c>
      <c r="J174" s="8">
        <v>0</v>
      </c>
      <c r="K174" s="59">
        <f t="shared" ref="K174:K209" si="27">SUM(I174:J174)</f>
        <v>700</v>
      </c>
    </row>
    <row r="175" spans="1:11" ht="14.95" customHeight="1" x14ac:dyDescent="0.25">
      <c r="A175" s="41" t="s">
        <v>134</v>
      </c>
      <c r="B175" s="34" t="s">
        <v>253</v>
      </c>
      <c r="C175" s="10">
        <v>0</v>
      </c>
      <c r="D175" s="10">
        <v>0</v>
      </c>
      <c r="E175" s="10">
        <v>0</v>
      </c>
      <c r="F175" s="103">
        <f>SUM(C175:E175)</f>
        <v>0</v>
      </c>
      <c r="G175" s="8">
        <v>0</v>
      </c>
      <c r="H175" s="8">
        <v>0</v>
      </c>
      <c r="I175" s="86">
        <v>30</v>
      </c>
      <c r="J175" s="8">
        <v>0</v>
      </c>
      <c r="K175" s="59">
        <f t="shared" si="27"/>
        <v>30</v>
      </c>
    </row>
    <row r="176" spans="1:11" ht="14.95" customHeight="1" x14ac:dyDescent="0.25">
      <c r="A176" s="9" t="s">
        <v>135</v>
      </c>
      <c r="B176" s="34" t="s">
        <v>253</v>
      </c>
      <c r="C176" s="10">
        <v>0</v>
      </c>
      <c r="D176" s="10">
        <v>0</v>
      </c>
      <c r="E176" s="10">
        <v>0</v>
      </c>
      <c r="F176" s="103">
        <f>SUM(C176:E176)</f>
        <v>0</v>
      </c>
      <c r="G176" s="8">
        <v>0</v>
      </c>
      <c r="H176" s="8">
        <v>0</v>
      </c>
      <c r="I176" s="86">
        <v>60</v>
      </c>
      <c r="J176" s="8">
        <v>0</v>
      </c>
      <c r="K176" s="59">
        <f t="shared" si="27"/>
        <v>60</v>
      </c>
    </row>
    <row r="177" spans="1:11" ht="14.95" customHeight="1" x14ac:dyDescent="0.25">
      <c r="A177" s="41" t="s">
        <v>136</v>
      </c>
      <c r="B177" s="34" t="s">
        <v>253</v>
      </c>
      <c r="C177" s="10">
        <v>0</v>
      </c>
      <c r="D177" s="10">
        <v>0</v>
      </c>
      <c r="E177" s="10">
        <v>0</v>
      </c>
      <c r="F177" s="103">
        <f>SUM(C177:E177)</f>
        <v>0</v>
      </c>
      <c r="G177" s="8">
        <v>0</v>
      </c>
      <c r="H177" s="8">
        <v>0</v>
      </c>
      <c r="I177" s="86">
        <v>15</v>
      </c>
      <c r="J177" s="8">
        <v>0</v>
      </c>
      <c r="K177" s="59">
        <f t="shared" si="27"/>
        <v>15</v>
      </c>
    </row>
    <row r="178" spans="1:11" ht="14.95" customHeight="1" x14ac:dyDescent="0.25">
      <c r="A178" s="41" t="s">
        <v>137</v>
      </c>
      <c r="B178" s="34" t="s">
        <v>250</v>
      </c>
      <c r="C178" s="10">
        <v>0</v>
      </c>
      <c r="D178" s="10">
        <v>0</v>
      </c>
      <c r="E178" s="10">
        <v>0</v>
      </c>
      <c r="F178" s="103">
        <f>SUM(C178:E178)</f>
        <v>0</v>
      </c>
      <c r="G178" s="8">
        <v>0</v>
      </c>
      <c r="H178" s="8">
        <v>0</v>
      </c>
      <c r="I178" s="86">
        <v>50</v>
      </c>
      <c r="J178" s="8">
        <v>0</v>
      </c>
      <c r="K178" s="59">
        <f t="shared" si="27"/>
        <v>50</v>
      </c>
    </row>
    <row r="179" spans="1:11" ht="14.95" customHeight="1" x14ac:dyDescent="0.25">
      <c r="A179" s="41" t="s">
        <v>256</v>
      </c>
      <c r="B179" s="34" t="s">
        <v>250</v>
      </c>
      <c r="C179" s="10"/>
      <c r="D179" s="10"/>
      <c r="E179" s="10"/>
      <c r="F179" s="103"/>
      <c r="G179" s="8"/>
      <c r="H179" s="8"/>
      <c r="I179" s="86">
        <v>580</v>
      </c>
      <c r="J179" s="8">
        <v>0</v>
      </c>
      <c r="K179" s="59">
        <f t="shared" si="27"/>
        <v>580</v>
      </c>
    </row>
    <row r="180" spans="1:11" ht="14.95" customHeight="1" x14ac:dyDescent="0.25">
      <c r="A180" s="9" t="s">
        <v>255</v>
      </c>
      <c r="B180" s="34" t="s">
        <v>253</v>
      </c>
      <c r="C180" s="10"/>
      <c r="D180" s="10"/>
      <c r="E180" s="10"/>
      <c r="F180" s="103"/>
      <c r="G180" s="8"/>
      <c r="H180" s="8"/>
      <c r="I180" s="86">
        <v>15</v>
      </c>
      <c r="J180" s="8">
        <v>0</v>
      </c>
      <c r="K180" s="59">
        <f t="shared" si="27"/>
        <v>15</v>
      </c>
    </row>
    <row r="181" spans="1:11" ht="14.95" customHeight="1" x14ac:dyDescent="0.25">
      <c r="A181" s="143" t="s">
        <v>257</v>
      </c>
      <c r="B181" s="34" t="s">
        <v>250</v>
      </c>
      <c r="C181" s="10"/>
      <c r="D181" s="10"/>
      <c r="E181" s="10"/>
      <c r="F181" s="103"/>
      <c r="G181" s="8"/>
      <c r="H181" s="8"/>
      <c r="I181" s="86">
        <v>200</v>
      </c>
      <c r="J181" s="8">
        <v>0</v>
      </c>
      <c r="K181" s="59">
        <f t="shared" si="27"/>
        <v>200</v>
      </c>
    </row>
    <row r="182" spans="1:11" ht="14.95" customHeight="1" x14ac:dyDescent="0.25">
      <c r="A182" s="9" t="s">
        <v>254</v>
      </c>
      <c r="B182" s="34" t="s">
        <v>250</v>
      </c>
      <c r="C182" s="10"/>
      <c r="D182" s="10"/>
      <c r="E182" s="10"/>
      <c r="F182" s="112"/>
      <c r="G182" s="10"/>
      <c r="H182" s="10"/>
      <c r="I182" s="87">
        <v>20</v>
      </c>
      <c r="J182" s="10">
        <v>0</v>
      </c>
      <c r="K182" s="59">
        <f t="shared" si="27"/>
        <v>20</v>
      </c>
    </row>
    <row r="183" spans="1:11" ht="17.149999999999999" customHeight="1" thickBot="1" x14ac:dyDescent="0.3">
      <c r="A183" s="36" t="s">
        <v>138</v>
      </c>
      <c r="B183" s="51"/>
      <c r="C183" s="12">
        <f>76</f>
        <v>76</v>
      </c>
      <c r="D183" s="12">
        <v>-3000</v>
      </c>
      <c r="E183" s="12">
        <f>-145-20</f>
        <v>-165</v>
      </c>
      <c r="F183" s="114">
        <f>SUM(C183:E183)+3</f>
        <v>-3086</v>
      </c>
      <c r="G183" s="12">
        <v>600.29999999999995</v>
      </c>
      <c r="H183" s="12">
        <f>-181-30+221.15</f>
        <v>10.150000000000006</v>
      </c>
      <c r="I183" s="12">
        <v>5047.5</v>
      </c>
      <c r="J183" s="12">
        <v>0</v>
      </c>
      <c r="K183" s="73">
        <f t="shared" si="27"/>
        <v>5047.5</v>
      </c>
    </row>
    <row r="184" spans="1:11" ht="15.65" customHeight="1" thickBot="1" x14ac:dyDescent="0.3">
      <c r="A184" s="37" t="s">
        <v>139</v>
      </c>
      <c r="B184" s="32"/>
      <c r="C184" s="24">
        <f t="shared" ref="C184:H184" si="28">SUM(C186)</f>
        <v>4319</v>
      </c>
      <c r="D184" s="24">
        <f t="shared" si="28"/>
        <v>2170</v>
      </c>
      <c r="E184" s="24">
        <f t="shared" si="28"/>
        <v>109</v>
      </c>
      <c r="F184" s="113">
        <f t="shared" si="28"/>
        <v>6598</v>
      </c>
      <c r="G184" s="24">
        <f t="shared" si="28"/>
        <v>0</v>
      </c>
      <c r="H184" s="24">
        <f t="shared" si="28"/>
        <v>102</v>
      </c>
      <c r="I184" s="24">
        <f>SUM(I186)</f>
        <v>190</v>
      </c>
      <c r="J184" s="24">
        <f>SUM(J186)</f>
        <v>0</v>
      </c>
      <c r="K184" s="167">
        <f t="shared" si="27"/>
        <v>190</v>
      </c>
    </row>
    <row r="185" spans="1:11" ht="14.95" customHeight="1" x14ac:dyDescent="0.25">
      <c r="A185" s="38" t="s">
        <v>24</v>
      </c>
      <c r="B185" s="131"/>
      <c r="C185" s="8"/>
      <c r="D185" s="8"/>
      <c r="E185" s="8"/>
      <c r="F185" s="103"/>
      <c r="G185" s="8"/>
      <c r="H185" s="8"/>
      <c r="I185" s="8"/>
      <c r="J185" s="8"/>
      <c r="K185" s="59"/>
    </row>
    <row r="186" spans="1:11" ht="14.95" customHeight="1" thickBot="1" x14ac:dyDescent="0.3">
      <c r="A186" s="36" t="s">
        <v>140</v>
      </c>
      <c r="B186" s="51"/>
      <c r="C186" s="12">
        <f>605+64+650+3000</f>
        <v>4319</v>
      </c>
      <c r="D186" s="12">
        <v>2170</v>
      </c>
      <c r="E186" s="12">
        <f>109</f>
        <v>109</v>
      </c>
      <c r="F186" s="114">
        <f>SUM(C186:E186)</f>
        <v>6598</v>
      </c>
      <c r="G186" s="12">
        <v>0</v>
      </c>
      <c r="H186" s="12">
        <f>730+22+120-770</f>
        <v>102</v>
      </c>
      <c r="I186" s="15">
        <v>190</v>
      </c>
      <c r="J186" s="15">
        <v>0</v>
      </c>
      <c r="K186" s="73">
        <f t="shared" si="27"/>
        <v>190</v>
      </c>
    </row>
    <row r="187" spans="1:11" ht="15.65" customHeight="1" thickBot="1" x14ac:dyDescent="0.3">
      <c r="A187" s="37" t="s">
        <v>141</v>
      </c>
      <c r="B187" s="32"/>
      <c r="C187" s="24">
        <f t="shared" ref="C187:J187" si="29">SUM(C189:C201)</f>
        <v>202.87</v>
      </c>
      <c r="D187" s="24">
        <f t="shared" si="29"/>
        <v>208.54</v>
      </c>
      <c r="E187" s="24">
        <f t="shared" si="29"/>
        <v>0</v>
      </c>
      <c r="F187" s="113">
        <f t="shared" si="29"/>
        <v>411.40999999999997</v>
      </c>
      <c r="G187" s="24">
        <f t="shared" si="29"/>
        <v>-186</v>
      </c>
      <c r="H187" s="24">
        <f t="shared" si="29"/>
        <v>0</v>
      </c>
      <c r="I187" s="24">
        <f t="shared" si="29"/>
        <v>19705</v>
      </c>
      <c r="J187" s="24">
        <f t="shared" si="29"/>
        <v>0</v>
      </c>
      <c r="K187" s="167">
        <f t="shared" si="27"/>
        <v>19705</v>
      </c>
    </row>
    <row r="188" spans="1:11" ht="14.95" customHeight="1" x14ac:dyDescent="0.25">
      <c r="A188" s="38" t="s">
        <v>24</v>
      </c>
      <c r="B188" s="131"/>
      <c r="C188" s="8"/>
      <c r="D188" s="8"/>
      <c r="E188" s="8"/>
      <c r="F188" s="103"/>
      <c r="G188" s="8"/>
      <c r="H188" s="8"/>
      <c r="I188" s="8"/>
      <c r="J188" s="8"/>
      <c r="K188" s="59"/>
    </row>
    <row r="189" spans="1:11" ht="26.5" customHeight="1" x14ac:dyDescent="0.25">
      <c r="A189" s="9" t="s">
        <v>220</v>
      </c>
      <c r="B189" s="34" t="s">
        <v>186</v>
      </c>
      <c r="C189" s="10">
        <v>0</v>
      </c>
      <c r="D189" s="10">
        <v>0</v>
      </c>
      <c r="E189" s="10">
        <v>0</v>
      </c>
      <c r="F189" s="103">
        <f>SUM(C189:E189)</f>
        <v>0</v>
      </c>
      <c r="G189" s="8">
        <v>-300</v>
      </c>
      <c r="H189" s="8">
        <v>0</v>
      </c>
      <c r="I189" s="8">
        <v>600</v>
      </c>
      <c r="J189" s="8">
        <v>0</v>
      </c>
      <c r="K189" s="59">
        <f t="shared" si="27"/>
        <v>600</v>
      </c>
    </row>
    <row r="190" spans="1:11" ht="14.95" customHeight="1" x14ac:dyDescent="0.25">
      <c r="A190" s="9" t="s">
        <v>219</v>
      </c>
      <c r="B190" s="34" t="s">
        <v>119</v>
      </c>
      <c r="C190" s="10">
        <v>0</v>
      </c>
      <c r="D190" s="10">
        <v>0</v>
      </c>
      <c r="E190" s="10">
        <v>0</v>
      </c>
      <c r="F190" s="103">
        <f>SUM(C190:E190)</f>
        <v>0</v>
      </c>
      <c r="G190" s="8">
        <v>-166</v>
      </c>
      <c r="H190" s="8">
        <v>0</v>
      </c>
      <c r="I190" s="8">
        <v>660</v>
      </c>
      <c r="J190" s="8">
        <v>0</v>
      </c>
      <c r="K190" s="59">
        <f t="shared" si="27"/>
        <v>660</v>
      </c>
    </row>
    <row r="191" spans="1:11" ht="26.5" customHeight="1" x14ac:dyDescent="0.25">
      <c r="A191" s="9" t="s">
        <v>221</v>
      </c>
      <c r="B191" s="34" t="s">
        <v>222</v>
      </c>
      <c r="C191" s="10">
        <v>0</v>
      </c>
      <c r="D191" s="10">
        <v>0</v>
      </c>
      <c r="E191" s="10">
        <v>0</v>
      </c>
      <c r="F191" s="103">
        <f>SUM(C191:E191)</f>
        <v>0</v>
      </c>
      <c r="G191" s="8">
        <v>0</v>
      </c>
      <c r="H191" s="8">
        <v>0</v>
      </c>
      <c r="I191" s="8">
        <v>300</v>
      </c>
      <c r="J191" s="8">
        <v>0</v>
      </c>
      <c r="K191" s="59">
        <f t="shared" si="27"/>
        <v>300</v>
      </c>
    </row>
    <row r="192" spans="1:11" ht="14.95" customHeight="1" x14ac:dyDescent="0.25">
      <c r="A192" s="9" t="s">
        <v>145</v>
      </c>
      <c r="B192" s="153" t="s">
        <v>250</v>
      </c>
      <c r="C192" s="10">
        <v>0</v>
      </c>
      <c r="D192" s="10">
        <v>413</v>
      </c>
      <c r="E192" s="10">
        <v>0</v>
      </c>
      <c r="F192" s="103">
        <f>SUM(C192:E192)</f>
        <v>413</v>
      </c>
      <c r="G192" s="8">
        <v>0</v>
      </c>
      <c r="H192" s="8">
        <v>0</v>
      </c>
      <c r="I192" s="8">
        <v>8035</v>
      </c>
      <c r="J192" s="8">
        <v>0</v>
      </c>
      <c r="K192" s="59">
        <f t="shared" si="27"/>
        <v>8035</v>
      </c>
    </row>
    <row r="193" spans="1:11" ht="17.149999999999999" customHeight="1" x14ac:dyDescent="0.25">
      <c r="A193" s="9" t="s">
        <v>146</v>
      </c>
      <c r="B193" s="34" t="s">
        <v>263</v>
      </c>
      <c r="C193" s="10">
        <v>0</v>
      </c>
      <c r="D193" s="10">
        <v>0</v>
      </c>
      <c r="E193" s="10">
        <v>0</v>
      </c>
      <c r="F193" s="103">
        <f t="shared" ref="F193:F200" si="30">SUM(C193:E193)</f>
        <v>0</v>
      </c>
      <c r="G193" s="8">
        <v>0</v>
      </c>
      <c r="H193" s="8">
        <v>0</v>
      </c>
      <c r="I193" s="8">
        <v>850</v>
      </c>
      <c r="J193" s="8">
        <v>0</v>
      </c>
      <c r="K193" s="59">
        <f t="shared" si="27"/>
        <v>850</v>
      </c>
    </row>
    <row r="194" spans="1:11" ht="27.7" customHeight="1" x14ac:dyDescent="0.25">
      <c r="A194" s="9" t="s">
        <v>147</v>
      </c>
      <c r="B194" s="34"/>
      <c r="C194" s="10">
        <v>0</v>
      </c>
      <c r="D194" s="10">
        <v>0</v>
      </c>
      <c r="E194" s="10">
        <v>0</v>
      </c>
      <c r="F194" s="112">
        <f t="shared" si="30"/>
        <v>0</v>
      </c>
      <c r="G194" s="10">
        <v>0</v>
      </c>
      <c r="H194" s="10">
        <v>0</v>
      </c>
      <c r="I194" s="10">
        <v>355</v>
      </c>
      <c r="J194" s="10">
        <v>0</v>
      </c>
      <c r="K194" s="59">
        <f t="shared" si="27"/>
        <v>355</v>
      </c>
    </row>
    <row r="195" spans="1:11" ht="14.95" customHeight="1" x14ac:dyDescent="0.25">
      <c r="A195" s="38" t="s">
        <v>148</v>
      </c>
      <c r="B195" s="131" t="s">
        <v>264</v>
      </c>
      <c r="C195" s="8">
        <v>0</v>
      </c>
      <c r="D195" s="8">
        <v>0</v>
      </c>
      <c r="E195" s="8">
        <v>0</v>
      </c>
      <c r="F195" s="103">
        <f t="shared" si="30"/>
        <v>0</v>
      </c>
      <c r="G195" s="8">
        <v>0</v>
      </c>
      <c r="H195" s="8">
        <v>0</v>
      </c>
      <c r="I195" s="8">
        <v>500</v>
      </c>
      <c r="J195" s="8">
        <v>0</v>
      </c>
      <c r="K195" s="59">
        <f t="shared" si="27"/>
        <v>500</v>
      </c>
    </row>
    <row r="196" spans="1:11" ht="14.95" customHeight="1" x14ac:dyDescent="0.25">
      <c r="A196" s="9" t="s">
        <v>149</v>
      </c>
      <c r="B196" s="34"/>
      <c r="C196" s="10">
        <v>0</v>
      </c>
      <c r="D196" s="10">
        <v>0</v>
      </c>
      <c r="E196" s="10">
        <v>0</v>
      </c>
      <c r="F196" s="103">
        <f t="shared" si="30"/>
        <v>0</v>
      </c>
      <c r="G196" s="8">
        <v>0</v>
      </c>
      <c r="H196" s="8">
        <v>0</v>
      </c>
      <c r="I196" s="8">
        <v>70</v>
      </c>
      <c r="J196" s="8">
        <v>0</v>
      </c>
      <c r="K196" s="59">
        <f t="shared" si="27"/>
        <v>70</v>
      </c>
    </row>
    <row r="197" spans="1:11" ht="27.7" customHeight="1" x14ac:dyDescent="0.25">
      <c r="A197" s="19" t="s">
        <v>224</v>
      </c>
      <c r="B197" s="34"/>
      <c r="C197" s="10">
        <v>0</v>
      </c>
      <c r="D197" s="10">
        <v>-74.36</v>
      </c>
      <c r="E197" s="10">
        <v>0</v>
      </c>
      <c r="F197" s="103">
        <f t="shared" si="30"/>
        <v>-74.36</v>
      </c>
      <c r="G197" s="8">
        <v>0</v>
      </c>
      <c r="H197" s="8">
        <v>0</v>
      </c>
      <c r="I197" s="8">
        <v>450</v>
      </c>
      <c r="J197" s="8">
        <v>0</v>
      </c>
      <c r="K197" s="59">
        <f t="shared" si="27"/>
        <v>450</v>
      </c>
    </row>
    <row r="198" spans="1:11" ht="14.95" customHeight="1" x14ac:dyDescent="0.25">
      <c r="A198" s="35" t="s">
        <v>150</v>
      </c>
      <c r="B198" s="34"/>
      <c r="C198" s="10">
        <v>0</v>
      </c>
      <c r="D198" s="10">
        <v>0</v>
      </c>
      <c r="E198" s="10">
        <v>0</v>
      </c>
      <c r="F198" s="103">
        <f t="shared" si="30"/>
        <v>0</v>
      </c>
      <c r="G198" s="8">
        <v>0</v>
      </c>
      <c r="H198" s="8">
        <v>0</v>
      </c>
      <c r="I198" s="8">
        <v>200</v>
      </c>
      <c r="J198" s="8">
        <v>0</v>
      </c>
      <c r="K198" s="59">
        <f t="shared" si="27"/>
        <v>200</v>
      </c>
    </row>
    <row r="199" spans="1:11" ht="14.95" customHeight="1" x14ac:dyDescent="0.25">
      <c r="A199" s="35" t="s">
        <v>151</v>
      </c>
      <c r="B199" s="34"/>
      <c r="C199" s="10">
        <v>0</v>
      </c>
      <c r="D199" s="10">
        <v>0</v>
      </c>
      <c r="E199" s="10">
        <v>0</v>
      </c>
      <c r="F199" s="103">
        <f t="shared" si="30"/>
        <v>0</v>
      </c>
      <c r="G199" s="8">
        <v>0</v>
      </c>
      <c r="H199" s="8">
        <v>0</v>
      </c>
      <c r="I199" s="8">
        <v>15</v>
      </c>
      <c r="J199" s="8">
        <v>0</v>
      </c>
      <c r="K199" s="59">
        <f t="shared" si="27"/>
        <v>15</v>
      </c>
    </row>
    <row r="200" spans="1:11" ht="14.95" customHeight="1" x14ac:dyDescent="0.25">
      <c r="A200" s="9" t="s">
        <v>152</v>
      </c>
      <c r="B200" s="34"/>
      <c r="C200" s="10">
        <v>0</v>
      </c>
      <c r="D200" s="10">
        <v>-220</v>
      </c>
      <c r="E200" s="10">
        <v>0</v>
      </c>
      <c r="F200" s="103">
        <f t="shared" si="30"/>
        <v>-220</v>
      </c>
      <c r="G200" s="8">
        <v>0</v>
      </c>
      <c r="H200" s="8">
        <v>0</v>
      </c>
      <c r="I200" s="8">
        <v>500</v>
      </c>
      <c r="J200" s="8">
        <v>0</v>
      </c>
      <c r="K200" s="59">
        <f t="shared" si="27"/>
        <v>500</v>
      </c>
    </row>
    <row r="201" spans="1:11" ht="14.95" thickBot="1" x14ac:dyDescent="0.3">
      <c r="A201" s="11" t="s">
        <v>153</v>
      </c>
      <c r="B201" s="51"/>
      <c r="C201" s="12">
        <f>24.46+178.41</f>
        <v>202.87</v>
      </c>
      <c r="D201" s="12">
        <v>89.9</v>
      </c>
      <c r="E201" s="12">
        <v>0</v>
      </c>
      <c r="F201" s="114">
        <f>SUM(C201:E201)</f>
        <v>292.77</v>
      </c>
      <c r="G201" s="12">
        <v>280</v>
      </c>
      <c r="H201" s="12">
        <v>0</v>
      </c>
      <c r="I201" s="12">
        <v>7170</v>
      </c>
      <c r="J201" s="15">
        <v>0</v>
      </c>
      <c r="K201" s="73">
        <f t="shared" si="27"/>
        <v>7170</v>
      </c>
    </row>
    <row r="202" spans="1:11" ht="15.65" customHeight="1" thickBot="1" x14ac:dyDescent="0.3">
      <c r="A202" s="37" t="s">
        <v>154</v>
      </c>
      <c r="B202" s="32"/>
      <c r="C202" s="24">
        <f t="shared" ref="C202:H202" si="31">SUM(C204:C205)</f>
        <v>0</v>
      </c>
      <c r="D202" s="24">
        <f t="shared" si="31"/>
        <v>0</v>
      </c>
      <c r="E202" s="24">
        <f t="shared" si="31"/>
        <v>0</v>
      </c>
      <c r="F202" s="113">
        <f t="shared" si="31"/>
        <v>0</v>
      </c>
      <c r="G202" s="24">
        <f t="shared" si="31"/>
        <v>0</v>
      </c>
      <c r="H202" s="24">
        <f t="shared" si="31"/>
        <v>1110</v>
      </c>
      <c r="I202" s="24">
        <f>SUM(I204:I205)</f>
        <v>64789</v>
      </c>
      <c r="J202" s="24">
        <f>SUM(J204:J205)</f>
        <v>0</v>
      </c>
      <c r="K202" s="167">
        <f t="shared" si="27"/>
        <v>64789</v>
      </c>
    </row>
    <row r="203" spans="1:11" ht="12.9" customHeight="1" x14ac:dyDescent="0.25">
      <c r="A203" s="38" t="s">
        <v>24</v>
      </c>
      <c r="B203" s="131"/>
      <c r="C203" s="8"/>
      <c r="D203" s="8"/>
      <c r="E203" s="8"/>
      <c r="F203" s="103"/>
      <c r="G203" s="8"/>
      <c r="H203" s="8"/>
      <c r="I203" s="8"/>
      <c r="J203" s="8"/>
      <c r="K203" s="59"/>
    </row>
    <row r="204" spans="1:11" ht="14.95" customHeight="1" x14ac:dyDescent="0.25">
      <c r="A204" s="35" t="s">
        <v>26</v>
      </c>
      <c r="B204" s="34"/>
      <c r="C204" s="10">
        <v>0</v>
      </c>
      <c r="D204" s="10">
        <v>0</v>
      </c>
      <c r="E204" s="10">
        <v>0</v>
      </c>
      <c r="F204" s="103">
        <f>SUM(C204:E204)</f>
        <v>0</v>
      </c>
      <c r="G204" s="8">
        <v>0</v>
      </c>
      <c r="H204" s="8">
        <v>0</v>
      </c>
      <c r="I204" s="8">
        <v>300</v>
      </c>
      <c r="J204" s="8">
        <v>0</v>
      </c>
      <c r="K204" s="59">
        <f t="shared" si="27"/>
        <v>300</v>
      </c>
    </row>
    <row r="205" spans="1:11" ht="14.95" customHeight="1" thickBot="1" x14ac:dyDescent="0.3">
      <c r="A205" s="36" t="s">
        <v>155</v>
      </c>
      <c r="B205" s="51"/>
      <c r="C205" s="12">
        <v>0</v>
      </c>
      <c r="D205" s="12">
        <v>0</v>
      </c>
      <c r="E205" s="12">
        <v>0</v>
      </c>
      <c r="F205" s="114">
        <f>SUM(C205:E205)</f>
        <v>0</v>
      </c>
      <c r="G205" s="12">
        <v>0</v>
      </c>
      <c r="H205" s="12">
        <f>1110</f>
        <v>1110</v>
      </c>
      <c r="I205" s="12">
        <v>64489</v>
      </c>
      <c r="J205" s="12">
        <v>0</v>
      </c>
      <c r="K205" s="73">
        <f t="shared" si="27"/>
        <v>64489</v>
      </c>
    </row>
    <row r="206" spans="1:11" ht="15.65" customHeight="1" thickBot="1" x14ac:dyDescent="0.3">
      <c r="A206" s="37" t="s">
        <v>156</v>
      </c>
      <c r="B206" s="32"/>
      <c r="C206" s="24">
        <f t="shared" ref="C206:H206" si="32">SUM(C208:C209)</f>
        <v>-312</v>
      </c>
      <c r="D206" s="24">
        <f t="shared" si="32"/>
        <v>2000</v>
      </c>
      <c r="E206" s="24">
        <f t="shared" si="32"/>
        <v>2867.74</v>
      </c>
      <c r="F206" s="113">
        <f t="shared" si="32"/>
        <v>7200.74</v>
      </c>
      <c r="G206" s="24">
        <f t="shared" si="32"/>
        <v>253</v>
      </c>
      <c r="H206" s="24">
        <f t="shared" si="32"/>
        <v>3677.1</v>
      </c>
      <c r="I206" s="24">
        <f>SUM(I208:I209)</f>
        <v>34241</v>
      </c>
      <c r="J206" s="24">
        <f>SUM(J208:J209)</f>
        <v>0</v>
      </c>
      <c r="K206" s="167">
        <f t="shared" si="27"/>
        <v>34241</v>
      </c>
    </row>
    <row r="207" spans="1:11" ht="14.95" customHeight="1" x14ac:dyDescent="0.25">
      <c r="A207" s="38" t="s">
        <v>24</v>
      </c>
      <c r="B207" s="131"/>
      <c r="C207" s="8"/>
      <c r="D207" s="8"/>
      <c r="E207" s="8"/>
      <c r="F207" s="103"/>
      <c r="G207" s="8"/>
      <c r="H207" s="8"/>
      <c r="I207" s="8"/>
      <c r="J207" s="8"/>
      <c r="K207" s="59"/>
    </row>
    <row r="208" spans="1:11" ht="14.95" customHeight="1" x14ac:dyDescent="0.25">
      <c r="A208" s="9" t="s">
        <v>26</v>
      </c>
      <c r="B208" s="34"/>
      <c r="C208" s="10">
        <v>0</v>
      </c>
      <c r="D208" s="10">
        <v>0</v>
      </c>
      <c r="E208" s="10">
        <f>3.99</f>
        <v>3.99</v>
      </c>
      <c r="F208" s="103">
        <f>SUM(C208:E208)</f>
        <v>3.99</v>
      </c>
      <c r="G208" s="8">
        <v>0</v>
      </c>
      <c r="H208" s="8">
        <v>0</v>
      </c>
      <c r="I208" s="8">
        <v>100</v>
      </c>
      <c r="J208" s="8">
        <v>0</v>
      </c>
      <c r="K208" s="59">
        <f t="shared" si="27"/>
        <v>100</v>
      </c>
    </row>
    <row r="209" spans="1:11" ht="14.95" customHeight="1" thickBot="1" x14ac:dyDescent="0.3">
      <c r="A209" s="11" t="s">
        <v>157</v>
      </c>
      <c r="B209" s="51"/>
      <c r="C209" s="12">
        <f>-150-162</f>
        <v>-312</v>
      </c>
      <c r="D209" s="12">
        <v>2000</v>
      </c>
      <c r="E209" s="12">
        <f>413.82+710.13-231+1885.5+85.3</f>
        <v>2863.75</v>
      </c>
      <c r="F209" s="114">
        <f>SUM(C209:E209)+2645</f>
        <v>7196.75</v>
      </c>
      <c r="G209" s="12">
        <v>253</v>
      </c>
      <c r="H209" s="15">
        <f>3137.5+539.6</f>
        <v>3677.1</v>
      </c>
      <c r="I209" s="15">
        <v>34141</v>
      </c>
      <c r="J209" s="15">
        <v>0</v>
      </c>
      <c r="K209" s="73">
        <f t="shared" si="27"/>
        <v>34141</v>
      </c>
    </row>
    <row r="210" spans="1:11" ht="15.8" customHeight="1" thickBot="1" x14ac:dyDescent="0.3">
      <c r="A210" s="42" t="s">
        <v>158</v>
      </c>
      <c r="B210" s="32"/>
      <c r="C210" s="24">
        <f t="shared" ref="C210:H210" si="33">SUM(C212:C213)</f>
        <v>0</v>
      </c>
      <c r="D210" s="24">
        <f t="shared" si="33"/>
        <v>2675</v>
      </c>
      <c r="E210" s="24">
        <f t="shared" si="33"/>
        <v>198</v>
      </c>
      <c r="F210" s="113">
        <f t="shared" si="33"/>
        <v>2873</v>
      </c>
      <c r="G210" s="24">
        <f t="shared" si="33"/>
        <v>100</v>
      </c>
      <c r="H210" s="24">
        <f t="shared" si="33"/>
        <v>0</v>
      </c>
      <c r="I210" s="24">
        <f>SUM(I212:I213)</f>
        <v>8403</v>
      </c>
      <c r="J210" s="24">
        <f>SUM(J212:J213)</f>
        <v>0</v>
      </c>
      <c r="K210" s="167">
        <f t="shared" ref="K210:K256" si="34">SUM(I210:J210)</f>
        <v>8403</v>
      </c>
    </row>
    <row r="211" spans="1:11" ht="14.95" customHeight="1" x14ac:dyDescent="0.25">
      <c r="A211" s="38" t="s">
        <v>24</v>
      </c>
      <c r="B211" s="131"/>
      <c r="C211" s="8"/>
      <c r="D211" s="8"/>
      <c r="E211" s="8"/>
      <c r="F211" s="103"/>
      <c r="G211" s="8"/>
      <c r="H211" s="8"/>
      <c r="I211" s="8"/>
      <c r="J211" s="8"/>
      <c r="K211" s="59"/>
    </row>
    <row r="212" spans="1:11" ht="14.95" customHeight="1" x14ac:dyDescent="0.25">
      <c r="A212" s="35" t="s">
        <v>26</v>
      </c>
      <c r="B212" s="34"/>
      <c r="C212" s="10">
        <v>0</v>
      </c>
      <c r="D212" s="10">
        <v>0</v>
      </c>
      <c r="E212" s="10">
        <v>0</v>
      </c>
      <c r="F212" s="103">
        <f>SUM(C212:E212)</f>
        <v>0</v>
      </c>
      <c r="G212" s="8">
        <v>0</v>
      </c>
      <c r="H212" s="8">
        <v>0</v>
      </c>
      <c r="I212" s="8">
        <v>440</v>
      </c>
      <c r="J212" s="8">
        <v>0</v>
      </c>
      <c r="K212" s="59">
        <f t="shared" si="34"/>
        <v>440</v>
      </c>
    </row>
    <row r="213" spans="1:11" ht="27" customHeight="1" thickBot="1" x14ac:dyDescent="0.3">
      <c r="A213" s="11" t="s">
        <v>159</v>
      </c>
      <c r="B213" s="51"/>
      <c r="C213" s="12">
        <v>0</v>
      </c>
      <c r="D213" s="12">
        <v>2675</v>
      </c>
      <c r="E213" s="12">
        <f>198</f>
        <v>198</v>
      </c>
      <c r="F213" s="171">
        <f>SUM(C213:E213)</f>
        <v>2873</v>
      </c>
      <c r="G213" s="15">
        <v>100</v>
      </c>
      <c r="H213" s="15">
        <v>0</v>
      </c>
      <c r="I213" s="15">
        <v>7963</v>
      </c>
      <c r="J213" s="15">
        <v>0</v>
      </c>
      <c r="K213" s="73">
        <f t="shared" si="34"/>
        <v>7963</v>
      </c>
    </row>
    <row r="214" spans="1:11" ht="16.5" customHeight="1" thickBot="1" x14ac:dyDescent="0.3">
      <c r="A214" s="43" t="s">
        <v>160</v>
      </c>
      <c r="B214" s="44"/>
      <c r="C214" s="45">
        <f>SUM(C24+C27+C32+C40+C44+C49+C130+C142+C151+C184+C187+C202+C206+C210)</f>
        <v>-911.43999999999949</v>
      </c>
      <c r="D214" s="45">
        <f>SUM(D24+D27+D32+D40+D44+D49+D130+D142+D151+D184+D187+D202+D206+D210)</f>
        <v>65175.45</v>
      </c>
      <c r="E214" s="45">
        <f>SUM(E24+E27+E32+E40+E44+E49+E130+E142+E151+E184+E187+E202+E206+E210)</f>
        <v>10020.329999999998</v>
      </c>
      <c r="F214" s="115">
        <f>SUM(F24+F27+F32+F40+F44+F49+F130+F142+F151+F184+F187+F202+F206+F210)</f>
        <v>75876.69</v>
      </c>
      <c r="G214" s="45">
        <f>G24+G27+G32+G40+G44+G49+G130+G142+G151+G184+G187+G202+G206+G210</f>
        <v>13945.35</v>
      </c>
      <c r="H214" s="45">
        <f>SUM(H24+H27+H32+H40+H44+H49+H130+H142+H151+H184+H187+H202+H206+H210)</f>
        <v>17588.57</v>
      </c>
      <c r="I214" s="45">
        <f>I24+I27+I32+I40+I44+I49+I130+I142+I151+I184+I187+I202+I206+I210</f>
        <v>1936856.01</v>
      </c>
      <c r="J214" s="45">
        <f>J24+J27+J32+J40+J44+J49+J130+J142+J151+J184+J187+J202+J206+J210</f>
        <v>-10787.72</v>
      </c>
      <c r="K214" s="174">
        <f t="shared" si="34"/>
        <v>1926068.29</v>
      </c>
    </row>
    <row r="215" spans="1:11" ht="11.9" customHeight="1" thickBot="1" x14ac:dyDescent="0.3">
      <c r="A215" s="175"/>
      <c r="B215" s="176"/>
      <c r="C215" s="15"/>
      <c r="D215" s="15"/>
      <c r="E215" s="15"/>
      <c r="F215" s="171"/>
      <c r="G215" s="15"/>
      <c r="H215" s="15"/>
      <c r="I215" s="15"/>
      <c r="J215" s="15"/>
      <c r="K215" s="73"/>
    </row>
    <row r="216" spans="1:11" ht="15.8" customHeight="1" thickBot="1" x14ac:dyDescent="0.3">
      <c r="A216" s="102" t="s">
        <v>161</v>
      </c>
      <c r="B216" s="81"/>
      <c r="C216" s="22"/>
      <c r="D216" s="22"/>
      <c r="E216" s="22"/>
      <c r="F216" s="111"/>
      <c r="G216" s="22"/>
      <c r="H216" s="22"/>
      <c r="I216" s="22"/>
      <c r="J216" s="22"/>
      <c r="K216" s="96"/>
    </row>
    <row r="217" spans="1:11" ht="15.65" customHeight="1" thickBot="1" x14ac:dyDescent="0.3">
      <c r="A217" s="101" t="s">
        <v>236</v>
      </c>
      <c r="B217" s="121"/>
      <c r="C217" s="24">
        <f>SUM(C219)</f>
        <v>0</v>
      </c>
      <c r="D217" s="24">
        <f>SUM(D218:D219)</f>
        <v>0</v>
      </c>
      <c r="E217" s="24">
        <f t="shared" ref="E217:J217" si="35">SUM(E219)</f>
        <v>0</v>
      </c>
      <c r="F217" s="113">
        <f t="shared" si="35"/>
        <v>0</v>
      </c>
      <c r="G217" s="24">
        <f t="shared" si="35"/>
        <v>0</v>
      </c>
      <c r="H217" s="24">
        <f t="shared" si="35"/>
        <v>0</v>
      </c>
      <c r="I217" s="24">
        <f t="shared" si="35"/>
        <v>0</v>
      </c>
      <c r="J217" s="24">
        <f t="shared" si="35"/>
        <v>0</v>
      </c>
      <c r="K217" s="167">
        <f t="shared" si="34"/>
        <v>0</v>
      </c>
    </row>
    <row r="218" spans="1:11" ht="14.95" customHeight="1" x14ac:dyDescent="0.25">
      <c r="A218" s="39" t="s">
        <v>24</v>
      </c>
      <c r="B218" s="131"/>
      <c r="C218" s="8"/>
      <c r="D218" s="8"/>
      <c r="E218" s="8"/>
      <c r="F218" s="103"/>
      <c r="G218" s="8"/>
      <c r="H218" s="8"/>
      <c r="I218" s="8"/>
      <c r="J218" s="8"/>
      <c r="K218" s="59"/>
    </row>
    <row r="219" spans="1:11" ht="16.3" customHeight="1" thickBot="1" x14ac:dyDescent="0.3">
      <c r="A219" s="126" t="s">
        <v>237</v>
      </c>
      <c r="B219" s="51"/>
      <c r="C219" s="12">
        <v>0</v>
      </c>
      <c r="D219" s="12">
        <v>0</v>
      </c>
      <c r="E219" s="12">
        <v>0</v>
      </c>
      <c r="F219" s="114">
        <f>SUM(C219:E219)</f>
        <v>0</v>
      </c>
      <c r="G219" s="12">
        <v>0</v>
      </c>
      <c r="H219" s="12">
        <v>0</v>
      </c>
      <c r="I219" s="12">
        <v>0</v>
      </c>
      <c r="J219" s="12">
        <v>0</v>
      </c>
      <c r="K219" s="73">
        <f t="shared" si="34"/>
        <v>0</v>
      </c>
    </row>
    <row r="220" spans="1:11" ht="15.65" customHeight="1" thickBot="1" x14ac:dyDescent="0.3">
      <c r="A220" s="37" t="s">
        <v>162</v>
      </c>
      <c r="B220" s="32"/>
      <c r="C220" s="24">
        <f t="shared" ref="C220:H220" si="36">SUM(C222:C224)</f>
        <v>0</v>
      </c>
      <c r="D220" s="24">
        <f t="shared" si="36"/>
        <v>0</v>
      </c>
      <c r="E220" s="24">
        <f t="shared" si="36"/>
        <v>59.9</v>
      </c>
      <c r="F220" s="113">
        <f t="shared" si="36"/>
        <v>110.5</v>
      </c>
      <c r="G220" s="24">
        <f t="shared" si="36"/>
        <v>0</v>
      </c>
      <c r="H220" s="24">
        <f t="shared" si="36"/>
        <v>0</v>
      </c>
      <c r="I220" s="24">
        <f>SUM(I222:I224)</f>
        <v>320</v>
      </c>
      <c r="J220" s="24">
        <f>SUM(J222:J224)</f>
        <v>0</v>
      </c>
      <c r="K220" s="167">
        <f t="shared" si="34"/>
        <v>320</v>
      </c>
    </row>
    <row r="221" spans="1:11" ht="14.95" customHeight="1" x14ac:dyDescent="0.25">
      <c r="A221" s="38" t="s">
        <v>24</v>
      </c>
      <c r="B221" s="131"/>
      <c r="C221" s="8"/>
      <c r="D221" s="8"/>
      <c r="E221" s="8"/>
      <c r="F221" s="103"/>
      <c r="G221" s="8"/>
      <c r="H221" s="8"/>
      <c r="I221" s="8"/>
      <c r="J221" s="8"/>
      <c r="K221" s="59"/>
    </row>
    <row r="222" spans="1:11" ht="14.95" customHeight="1" x14ac:dyDescent="0.25">
      <c r="A222" s="35" t="s">
        <v>163</v>
      </c>
      <c r="B222" s="34"/>
      <c r="C222" s="10">
        <v>0</v>
      </c>
      <c r="D222" s="10">
        <v>0</v>
      </c>
      <c r="E222" s="10">
        <f>59.9</f>
        <v>59.9</v>
      </c>
      <c r="F222" s="103">
        <f>SUM(C222:E222)+50.6</f>
        <v>110.5</v>
      </c>
      <c r="G222" s="8">
        <v>0</v>
      </c>
      <c r="H222" s="8">
        <v>0</v>
      </c>
      <c r="I222" s="8">
        <v>0</v>
      </c>
      <c r="J222" s="8">
        <v>0</v>
      </c>
      <c r="K222" s="59">
        <f t="shared" si="34"/>
        <v>0</v>
      </c>
    </row>
    <row r="223" spans="1:11" ht="14.95" customHeight="1" x14ac:dyDescent="0.25">
      <c r="A223" s="35" t="s">
        <v>164</v>
      </c>
      <c r="B223" s="34"/>
      <c r="C223" s="57">
        <v>0</v>
      </c>
      <c r="D223" s="57">
        <v>0</v>
      </c>
      <c r="E223" s="57">
        <v>0</v>
      </c>
      <c r="F223" s="103">
        <f>SUM(C223:E223)</f>
        <v>0</v>
      </c>
      <c r="G223" s="8">
        <v>0</v>
      </c>
      <c r="H223" s="8">
        <v>0</v>
      </c>
      <c r="I223" s="8">
        <v>320</v>
      </c>
      <c r="J223" s="8">
        <v>0</v>
      </c>
      <c r="K223" s="59">
        <f t="shared" si="34"/>
        <v>320</v>
      </c>
    </row>
    <row r="224" spans="1:11" ht="14.95" customHeight="1" thickBot="1" x14ac:dyDescent="0.3">
      <c r="A224" s="36" t="s">
        <v>165</v>
      </c>
      <c r="B224" s="51"/>
      <c r="C224" s="64">
        <v>0</v>
      </c>
      <c r="D224" s="64">
        <v>0</v>
      </c>
      <c r="E224" s="64">
        <v>0</v>
      </c>
      <c r="F224" s="114">
        <f>SUM(C224:E224)</f>
        <v>0</v>
      </c>
      <c r="G224" s="12">
        <v>0</v>
      </c>
      <c r="H224" s="15">
        <v>0</v>
      </c>
      <c r="I224" s="15">
        <v>0</v>
      </c>
      <c r="J224" s="15">
        <v>0</v>
      </c>
      <c r="K224" s="73">
        <f t="shared" si="34"/>
        <v>0</v>
      </c>
    </row>
    <row r="225" spans="1:11" ht="15.65" customHeight="1" thickBot="1" x14ac:dyDescent="0.3">
      <c r="A225" s="37" t="s">
        <v>29</v>
      </c>
      <c r="B225" s="32"/>
      <c r="C225" s="24">
        <f>SUM(C228:C235)</f>
        <v>-83.78</v>
      </c>
      <c r="D225" s="24">
        <f>SUM(D228:D235)</f>
        <v>73861.08</v>
      </c>
      <c r="E225" s="24">
        <f>SUM(E228:E235)</f>
        <v>-632</v>
      </c>
      <c r="F225" s="113">
        <f>SUM(F227:F235)</f>
        <v>73145.3</v>
      </c>
      <c r="G225" s="24">
        <f>SUM(G227:G235)</f>
        <v>12797</v>
      </c>
      <c r="H225" s="24">
        <f>SUM(H227:H235)</f>
        <v>-898.14</v>
      </c>
      <c r="I225" s="24">
        <f>SUM(I227:I235)</f>
        <v>159109.87</v>
      </c>
      <c r="J225" s="24">
        <f>SUM(J227:J235)</f>
        <v>0</v>
      </c>
      <c r="K225" s="167">
        <f t="shared" si="34"/>
        <v>159109.87</v>
      </c>
    </row>
    <row r="226" spans="1:11" ht="14.95" customHeight="1" x14ac:dyDescent="0.25">
      <c r="A226" s="38" t="s">
        <v>24</v>
      </c>
      <c r="B226" s="131"/>
      <c r="C226" s="8"/>
      <c r="D226" s="8"/>
      <c r="E226" s="8"/>
      <c r="F226" s="103"/>
      <c r="G226" s="8"/>
      <c r="H226" s="8"/>
      <c r="I226" s="8"/>
      <c r="J226" s="8"/>
      <c r="K226" s="59"/>
    </row>
    <row r="227" spans="1:11" ht="14.95" customHeight="1" x14ac:dyDescent="0.25">
      <c r="A227" s="38" t="s">
        <v>235</v>
      </c>
      <c r="B227" s="131"/>
      <c r="C227" s="8"/>
      <c r="D227" s="8"/>
      <c r="E227" s="8"/>
      <c r="F227" s="103">
        <v>0</v>
      </c>
      <c r="G227" s="8">
        <v>12797</v>
      </c>
      <c r="H227" s="8">
        <v>0</v>
      </c>
      <c r="I227" s="8">
        <v>0</v>
      </c>
      <c r="J227" s="8">
        <v>0</v>
      </c>
      <c r="K227" s="59">
        <f t="shared" si="34"/>
        <v>0</v>
      </c>
    </row>
    <row r="228" spans="1:11" ht="14.95" customHeight="1" x14ac:dyDescent="0.25">
      <c r="A228" s="35" t="s">
        <v>166</v>
      </c>
      <c r="B228" s="34"/>
      <c r="C228" s="10">
        <f>-44.42</f>
        <v>-44.42</v>
      </c>
      <c r="D228" s="10">
        <v>6353.67</v>
      </c>
      <c r="E228" s="10">
        <f>-33</f>
        <v>-33</v>
      </c>
      <c r="F228" s="103">
        <f t="shared" ref="F228:F235" si="37">SUM(C228:E228)</f>
        <v>6276.25</v>
      </c>
      <c r="G228" s="8">
        <v>0</v>
      </c>
      <c r="H228" s="8">
        <f>-85</f>
        <v>-85</v>
      </c>
      <c r="I228" s="8">
        <v>1600</v>
      </c>
      <c r="J228" s="8">
        <v>0</v>
      </c>
      <c r="K228" s="59">
        <f t="shared" si="34"/>
        <v>1600</v>
      </c>
    </row>
    <row r="229" spans="1:11" ht="14.95" customHeight="1" x14ac:dyDescent="0.25">
      <c r="A229" s="35" t="s">
        <v>167</v>
      </c>
      <c r="B229" s="34"/>
      <c r="C229" s="10">
        <v>0</v>
      </c>
      <c r="D229" s="10">
        <v>3277.84</v>
      </c>
      <c r="E229" s="10">
        <f>-80</f>
        <v>-80</v>
      </c>
      <c r="F229" s="103">
        <f t="shared" si="37"/>
        <v>3197.84</v>
      </c>
      <c r="G229" s="8">
        <v>0</v>
      </c>
      <c r="H229" s="8">
        <f>-21.41-584</f>
        <v>-605.41</v>
      </c>
      <c r="I229" s="8">
        <v>3100</v>
      </c>
      <c r="J229" s="8">
        <v>0</v>
      </c>
      <c r="K229" s="59">
        <f t="shared" si="34"/>
        <v>3100</v>
      </c>
    </row>
    <row r="230" spans="1:11" ht="14.95" customHeight="1" x14ac:dyDescent="0.25">
      <c r="A230" s="9" t="s">
        <v>168</v>
      </c>
      <c r="B230" s="34"/>
      <c r="C230" s="10">
        <f>-39.36</f>
        <v>-39.36</v>
      </c>
      <c r="D230" s="10">
        <v>4136.68</v>
      </c>
      <c r="E230" s="10">
        <f>-519</f>
        <v>-519</v>
      </c>
      <c r="F230" s="103">
        <f t="shared" si="37"/>
        <v>3578.3200000000006</v>
      </c>
      <c r="G230" s="8">
        <v>0</v>
      </c>
      <c r="H230" s="8">
        <f>-200</f>
        <v>-200</v>
      </c>
      <c r="I230" s="8">
        <v>1300</v>
      </c>
      <c r="J230" s="8">
        <v>0</v>
      </c>
      <c r="K230" s="59">
        <f t="shared" si="34"/>
        <v>1300</v>
      </c>
    </row>
    <row r="231" spans="1:11" ht="14.95" customHeight="1" x14ac:dyDescent="0.25">
      <c r="A231" s="35" t="s">
        <v>169</v>
      </c>
      <c r="B231" s="34"/>
      <c r="C231" s="10">
        <v>0</v>
      </c>
      <c r="D231" s="10">
        <v>6683.7</v>
      </c>
      <c r="E231" s="10">
        <v>0</v>
      </c>
      <c r="F231" s="103">
        <f t="shared" si="37"/>
        <v>6683.7</v>
      </c>
      <c r="G231" s="8">
        <v>0</v>
      </c>
      <c r="H231" s="8">
        <f>-7.73</f>
        <v>-7.73</v>
      </c>
      <c r="I231" s="8">
        <v>2900</v>
      </c>
      <c r="J231" s="8">
        <v>0</v>
      </c>
      <c r="K231" s="59">
        <f t="shared" si="34"/>
        <v>2900</v>
      </c>
    </row>
    <row r="232" spans="1:11" ht="14.95" customHeight="1" x14ac:dyDescent="0.25">
      <c r="A232" s="9" t="s">
        <v>170</v>
      </c>
      <c r="B232" s="34"/>
      <c r="C232" s="10">
        <v>0</v>
      </c>
      <c r="D232" s="10">
        <v>2221</v>
      </c>
      <c r="E232" s="10">
        <v>0</v>
      </c>
      <c r="F232" s="103">
        <f t="shared" si="37"/>
        <v>2221</v>
      </c>
      <c r="G232" s="8">
        <v>0</v>
      </c>
      <c r="H232" s="8">
        <v>0</v>
      </c>
      <c r="I232" s="8">
        <v>1100</v>
      </c>
      <c r="J232" s="8">
        <v>0</v>
      </c>
      <c r="K232" s="59">
        <f t="shared" si="34"/>
        <v>1100</v>
      </c>
    </row>
    <row r="233" spans="1:11" ht="23.95" customHeight="1" x14ac:dyDescent="0.25">
      <c r="A233" s="9" t="s">
        <v>171</v>
      </c>
      <c r="B233" s="34"/>
      <c r="C233" s="10">
        <v>0</v>
      </c>
      <c r="D233" s="10">
        <v>0</v>
      </c>
      <c r="E233" s="10">
        <v>0</v>
      </c>
      <c r="F233" s="103">
        <f t="shared" si="37"/>
        <v>0</v>
      </c>
      <c r="G233" s="8">
        <v>0</v>
      </c>
      <c r="H233" s="8">
        <v>0</v>
      </c>
      <c r="I233" s="8">
        <v>3131</v>
      </c>
      <c r="J233" s="8">
        <v>0</v>
      </c>
      <c r="K233" s="59">
        <f t="shared" si="34"/>
        <v>3131</v>
      </c>
    </row>
    <row r="234" spans="1:11" ht="14.95" customHeight="1" x14ac:dyDescent="0.25">
      <c r="A234" s="9" t="s">
        <v>172</v>
      </c>
      <c r="B234" s="34"/>
      <c r="C234" s="10">
        <v>0</v>
      </c>
      <c r="D234" s="10">
        <v>51188.19</v>
      </c>
      <c r="E234" s="10">
        <v>0</v>
      </c>
      <c r="F234" s="103">
        <f t="shared" si="37"/>
        <v>51188.19</v>
      </c>
      <c r="G234" s="8">
        <v>0</v>
      </c>
      <c r="H234" s="8">
        <v>0</v>
      </c>
      <c r="I234" s="8">
        <v>145978.87</v>
      </c>
      <c r="J234" s="8">
        <v>0</v>
      </c>
      <c r="K234" s="59">
        <f t="shared" si="34"/>
        <v>145978.87</v>
      </c>
    </row>
    <row r="235" spans="1:11" ht="17.149999999999999" customHeight="1" thickBot="1" x14ac:dyDescent="0.3">
      <c r="A235" s="36" t="s">
        <v>173</v>
      </c>
      <c r="B235" s="51"/>
      <c r="C235" s="64">
        <v>0</v>
      </c>
      <c r="D235" s="64">
        <v>0</v>
      </c>
      <c r="E235" s="64">
        <v>0</v>
      </c>
      <c r="F235" s="114">
        <f t="shared" si="37"/>
        <v>0</v>
      </c>
      <c r="G235" s="12">
        <v>0</v>
      </c>
      <c r="H235" s="12">
        <v>0</v>
      </c>
      <c r="I235" s="12">
        <v>0</v>
      </c>
      <c r="J235" s="12">
        <v>0</v>
      </c>
      <c r="K235" s="73">
        <f t="shared" si="34"/>
        <v>0</v>
      </c>
    </row>
    <row r="236" spans="1:11" ht="15.65" customHeight="1" thickBot="1" x14ac:dyDescent="0.3">
      <c r="A236" s="37" t="s">
        <v>35</v>
      </c>
      <c r="B236" s="28"/>
      <c r="C236" s="24">
        <f t="shared" ref="C236:H236" si="38">SUM(C238:C239)</f>
        <v>6726.99</v>
      </c>
      <c r="D236" s="24">
        <f t="shared" si="38"/>
        <v>20311.03</v>
      </c>
      <c r="E236" s="24">
        <f t="shared" si="38"/>
        <v>2899.5</v>
      </c>
      <c r="F236" s="113">
        <f t="shared" si="38"/>
        <v>30967.520000000004</v>
      </c>
      <c r="G236" s="24">
        <f t="shared" si="38"/>
        <v>2628</v>
      </c>
      <c r="H236" s="24">
        <f t="shared" si="38"/>
        <v>3167.0900000000006</v>
      </c>
      <c r="I236" s="24">
        <f>SUM(I238:I239)</f>
        <v>17802.48</v>
      </c>
      <c r="J236" s="24">
        <f>SUM(J238:J239)</f>
        <v>10787.72</v>
      </c>
      <c r="K236" s="167">
        <f t="shared" si="34"/>
        <v>28590.199999999997</v>
      </c>
    </row>
    <row r="237" spans="1:11" ht="14.95" customHeight="1" x14ac:dyDescent="0.25">
      <c r="A237" s="38" t="s">
        <v>24</v>
      </c>
      <c r="B237" s="131"/>
      <c r="C237" s="8"/>
      <c r="D237" s="8"/>
      <c r="E237" s="8"/>
      <c r="F237" s="103"/>
      <c r="G237" s="8"/>
      <c r="H237" s="8"/>
      <c r="I237" s="8"/>
      <c r="J237" s="8"/>
      <c r="K237" s="59"/>
    </row>
    <row r="238" spans="1:11" ht="14.95" customHeight="1" x14ac:dyDescent="0.25">
      <c r="A238" s="35" t="s">
        <v>163</v>
      </c>
      <c r="B238" s="34"/>
      <c r="C238" s="10">
        <f>5013+480</f>
        <v>5493</v>
      </c>
      <c r="D238" s="10">
        <v>1030.19</v>
      </c>
      <c r="E238" s="10">
        <f>1156.5+1324+71+348</f>
        <v>2899.5</v>
      </c>
      <c r="F238" s="103">
        <f>SUM(C238:E238)+1030</f>
        <v>10452.69</v>
      </c>
      <c r="G238" s="8">
        <v>0</v>
      </c>
      <c r="H238" s="8">
        <f>1058.5+3209.27+91-1451.6+259.92</f>
        <v>3167.0900000000006</v>
      </c>
      <c r="I238" s="8">
        <v>17252.48</v>
      </c>
      <c r="J238" s="8">
        <f>9470.72</f>
        <v>9470.7199999999993</v>
      </c>
      <c r="K238" s="59">
        <f t="shared" si="34"/>
        <v>26723.199999999997</v>
      </c>
    </row>
    <row r="239" spans="1:11" ht="14.95" customHeight="1" thickBot="1" x14ac:dyDescent="0.3">
      <c r="A239" s="11" t="s">
        <v>174</v>
      </c>
      <c r="B239" s="51"/>
      <c r="C239" s="12">
        <f>100+1133.99</f>
        <v>1233.99</v>
      </c>
      <c r="D239" s="12">
        <v>19280.84</v>
      </c>
      <c r="E239" s="12">
        <v>0</v>
      </c>
      <c r="F239" s="114">
        <f>SUM(C239:E239)</f>
        <v>20514.830000000002</v>
      </c>
      <c r="G239" s="12">
        <v>2628</v>
      </c>
      <c r="H239" s="12">
        <v>0</v>
      </c>
      <c r="I239" s="12">
        <v>550</v>
      </c>
      <c r="J239" s="12">
        <f>1317</f>
        <v>1317</v>
      </c>
      <c r="K239" s="73">
        <f t="shared" si="34"/>
        <v>1867</v>
      </c>
    </row>
    <row r="240" spans="1:11" ht="15.8" customHeight="1" thickBot="1" x14ac:dyDescent="0.3">
      <c r="A240" s="37" t="s">
        <v>37</v>
      </c>
      <c r="B240" s="32"/>
      <c r="C240" s="80">
        <f t="shared" ref="C240:H240" si="39">SUM(C242:C243)</f>
        <v>0</v>
      </c>
      <c r="D240" s="80">
        <f t="shared" si="39"/>
        <v>0</v>
      </c>
      <c r="E240" s="80">
        <f t="shared" si="39"/>
        <v>0</v>
      </c>
      <c r="F240" s="117">
        <f t="shared" si="39"/>
        <v>0</v>
      </c>
      <c r="G240" s="116">
        <f t="shared" si="39"/>
        <v>0</v>
      </c>
      <c r="H240" s="116">
        <f t="shared" si="39"/>
        <v>0</v>
      </c>
      <c r="I240" s="24">
        <f>SUM(I242:I243)</f>
        <v>0</v>
      </c>
      <c r="J240" s="24">
        <f>SUM(J242:J243)</f>
        <v>0</v>
      </c>
      <c r="K240" s="167">
        <f t="shared" si="34"/>
        <v>0</v>
      </c>
    </row>
    <row r="241" spans="1:11" ht="14.95" customHeight="1" x14ac:dyDescent="0.25">
      <c r="A241" s="38" t="s">
        <v>24</v>
      </c>
      <c r="B241" s="131"/>
      <c r="C241" s="18"/>
      <c r="D241" s="18"/>
      <c r="E241" s="18"/>
      <c r="F241" s="103"/>
      <c r="G241" s="8"/>
      <c r="H241" s="8"/>
      <c r="I241" s="8"/>
      <c r="J241" s="8"/>
      <c r="K241" s="59"/>
    </row>
    <row r="242" spans="1:11" ht="14.95" customHeight="1" x14ac:dyDescent="0.25">
      <c r="A242" s="35" t="s">
        <v>163</v>
      </c>
      <c r="B242" s="34"/>
      <c r="C242" s="65">
        <v>0</v>
      </c>
      <c r="D242" s="65">
        <v>0</v>
      </c>
      <c r="E242" s="65">
        <v>0</v>
      </c>
      <c r="F242" s="103">
        <f>SUM(C242:E242)</f>
        <v>0</v>
      </c>
      <c r="G242" s="8">
        <v>0</v>
      </c>
      <c r="H242" s="8">
        <v>0</v>
      </c>
      <c r="I242" s="8">
        <v>0</v>
      </c>
      <c r="J242" s="8">
        <v>0</v>
      </c>
      <c r="K242" s="59">
        <f t="shared" si="34"/>
        <v>0</v>
      </c>
    </row>
    <row r="243" spans="1:11" ht="14.95" customHeight="1" thickBot="1" x14ac:dyDescent="0.3">
      <c r="A243" s="36" t="s">
        <v>175</v>
      </c>
      <c r="B243" s="51"/>
      <c r="C243" s="79">
        <v>0</v>
      </c>
      <c r="D243" s="79">
        <v>0</v>
      </c>
      <c r="E243" s="79">
        <v>0</v>
      </c>
      <c r="F243" s="171">
        <f>SUM(C243:E243)</f>
        <v>0</v>
      </c>
      <c r="G243" s="15">
        <v>0</v>
      </c>
      <c r="H243" s="15">
        <v>0</v>
      </c>
      <c r="I243" s="15">
        <v>0</v>
      </c>
      <c r="J243" s="15">
        <v>0</v>
      </c>
      <c r="K243" s="73">
        <f t="shared" si="34"/>
        <v>0</v>
      </c>
    </row>
    <row r="244" spans="1:11" ht="15.65" customHeight="1" thickBot="1" x14ac:dyDescent="0.3">
      <c r="A244" s="37" t="s">
        <v>40</v>
      </c>
      <c r="B244" s="32"/>
      <c r="C244" s="24">
        <f t="shared" ref="C244:J244" si="40">SUM(C246:C247)</f>
        <v>130</v>
      </c>
      <c r="D244" s="24">
        <f t="shared" si="40"/>
        <v>0</v>
      </c>
      <c r="E244" s="24">
        <f t="shared" si="40"/>
        <v>255</v>
      </c>
      <c r="F244" s="113">
        <f t="shared" si="40"/>
        <v>385</v>
      </c>
      <c r="G244" s="24">
        <f t="shared" si="40"/>
        <v>0</v>
      </c>
      <c r="H244" s="24">
        <f t="shared" si="40"/>
        <v>70</v>
      </c>
      <c r="I244" s="24">
        <f t="shared" si="40"/>
        <v>4000</v>
      </c>
      <c r="J244" s="24">
        <f t="shared" si="40"/>
        <v>0</v>
      </c>
      <c r="K244" s="167">
        <f t="shared" si="34"/>
        <v>4000</v>
      </c>
    </row>
    <row r="245" spans="1:11" ht="14.95" customHeight="1" x14ac:dyDescent="0.25">
      <c r="A245" s="38" t="s">
        <v>24</v>
      </c>
      <c r="B245" s="131"/>
      <c r="C245" s="8"/>
      <c r="D245" s="8"/>
      <c r="E245" s="8"/>
      <c r="F245" s="103"/>
      <c r="G245" s="8"/>
      <c r="H245" s="8"/>
      <c r="I245" s="8"/>
      <c r="J245" s="8"/>
      <c r="K245" s="59"/>
    </row>
    <row r="246" spans="1:11" ht="14.95" customHeight="1" x14ac:dyDescent="0.25">
      <c r="A246" s="35" t="s">
        <v>163</v>
      </c>
      <c r="B246" s="34"/>
      <c r="C246" s="10">
        <v>130</v>
      </c>
      <c r="D246" s="10">
        <v>0</v>
      </c>
      <c r="E246" s="10">
        <f>70+150+35</f>
        <v>255</v>
      </c>
      <c r="F246" s="103">
        <f>SUM(C246:E246)</f>
        <v>385</v>
      </c>
      <c r="G246" s="8">
        <v>0</v>
      </c>
      <c r="H246" s="8">
        <f>70</f>
        <v>70</v>
      </c>
      <c r="I246" s="8">
        <v>4000</v>
      </c>
      <c r="J246" s="8">
        <v>0</v>
      </c>
      <c r="K246" s="59">
        <f t="shared" si="34"/>
        <v>4000</v>
      </c>
    </row>
    <row r="247" spans="1:11" ht="14.95" customHeight="1" thickBot="1" x14ac:dyDescent="0.3">
      <c r="A247" s="36" t="s">
        <v>176</v>
      </c>
      <c r="B247" s="51"/>
      <c r="C247" s="12">
        <v>0</v>
      </c>
      <c r="D247" s="12">
        <v>0</v>
      </c>
      <c r="E247" s="12">
        <v>0</v>
      </c>
      <c r="F247" s="114">
        <f t="shared" ref="F247" si="41">SUM(C247:E247)</f>
        <v>0</v>
      </c>
      <c r="G247" s="12">
        <v>0</v>
      </c>
      <c r="H247" s="12">
        <v>0</v>
      </c>
      <c r="I247" s="12">
        <v>0</v>
      </c>
      <c r="J247" s="15">
        <v>0</v>
      </c>
      <c r="K247" s="73">
        <f t="shared" si="34"/>
        <v>0</v>
      </c>
    </row>
    <row r="248" spans="1:11" ht="15.65" customHeight="1" thickBot="1" x14ac:dyDescent="0.3">
      <c r="A248" s="37" t="s">
        <v>101</v>
      </c>
      <c r="B248" s="32"/>
      <c r="C248" s="24">
        <f t="shared" ref="C248:H248" si="42">SUM(C250:C251)</f>
        <v>0</v>
      </c>
      <c r="D248" s="24">
        <f t="shared" si="42"/>
        <v>17550</v>
      </c>
      <c r="E248" s="24">
        <f t="shared" si="42"/>
        <v>-7300</v>
      </c>
      <c r="F248" s="113">
        <f t="shared" si="42"/>
        <v>10422</v>
      </c>
      <c r="G248" s="24">
        <f t="shared" si="42"/>
        <v>6000</v>
      </c>
      <c r="H248" s="24">
        <f t="shared" si="42"/>
        <v>-13928</v>
      </c>
      <c r="I248" s="24">
        <f>SUM(I250:I251)</f>
        <v>25005</v>
      </c>
      <c r="J248" s="24">
        <f>SUM(J250:J251)</f>
        <v>0</v>
      </c>
      <c r="K248" s="167">
        <f t="shared" si="34"/>
        <v>25005</v>
      </c>
    </row>
    <row r="249" spans="1:11" ht="14.95" customHeight="1" x14ac:dyDescent="0.25">
      <c r="A249" s="38" t="s">
        <v>24</v>
      </c>
      <c r="B249" s="131"/>
      <c r="C249" s="8"/>
      <c r="D249" s="8"/>
      <c r="E249" s="8"/>
      <c r="F249" s="103"/>
      <c r="G249" s="8"/>
      <c r="H249" s="8"/>
      <c r="I249" s="8"/>
      <c r="J249" s="8"/>
      <c r="K249" s="59"/>
    </row>
    <row r="250" spans="1:11" ht="14.95" customHeight="1" x14ac:dyDescent="0.25">
      <c r="A250" s="35" t="s">
        <v>163</v>
      </c>
      <c r="B250" s="34"/>
      <c r="C250" s="10">
        <v>0</v>
      </c>
      <c r="D250" s="10">
        <v>17550</v>
      </c>
      <c r="E250" s="10">
        <f>80-7380</f>
        <v>-7300</v>
      </c>
      <c r="F250" s="103">
        <f>SUM(C250:E250)+172</f>
        <v>10422</v>
      </c>
      <c r="G250" s="8">
        <v>6000</v>
      </c>
      <c r="H250" s="8">
        <f>-13928</f>
        <v>-13928</v>
      </c>
      <c r="I250" s="8">
        <v>25005</v>
      </c>
      <c r="J250" s="8">
        <v>0</v>
      </c>
      <c r="K250" s="59">
        <f t="shared" si="34"/>
        <v>25005</v>
      </c>
    </row>
    <row r="251" spans="1:11" ht="15.65" customHeight="1" thickBot="1" x14ac:dyDescent="0.3">
      <c r="A251" s="11" t="s">
        <v>177</v>
      </c>
      <c r="B251" s="51"/>
      <c r="C251" s="64">
        <v>0</v>
      </c>
      <c r="D251" s="64">
        <v>0</v>
      </c>
      <c r="E251" s="64">
        <v>0</v>
      </c>
      <c r="F251" s="114">
        <f>SUM(C251:E251)</f>
        <v>0</v>
      </c>
      <c r="G251" s="12">
        <v>0</v>
      </c>
      <c r="H251" s="12">
        <v>0</v>
      </c>
      <c r="I251" s="12">
        <v>0</v>
      </c>
      <c r="J251" s="15">
        <v>0</v>
      </c>
      <c r="K251" s="73">
        <f t="shared" si="34"/>
        <v>0</v>
      </c>
    </row>
    <row r="252" spans="1:11" ht="15.8" customHeight="1" thickBot="1" x14ac:dyDescent="0.3">
      <c r="A252" s="88" t="s">
        <v>108</v>
      </c>
      <c r="B252" s="32"/>
      <c r="C252" s="127">
        <f t="shared" ref="C252:J252" si="43">SUM(C254:C257)</f>
        <v>-16.579999999999998</v>
      </c>
      <c r="D252" s="128">
        <f t="shared" si="43"/>
        <v>6622.2</v>
      </c>
      <c r="E252" s="128">
        <f t="shared" si="43"/>
        <v>-522.20000000000005</v>
      </c>
      <c r="F252" s="113">
        <f t="shared" si="43"/>
        <v>6083.42</v>
      </c>
      <c r="G252" s="24">
        <f t="shared" si="43"/>
        <v>0</v>
      </c>
      <c r="H252" s="24">
        <f t="shared" si="43"/>
        <v>-165</v>
      </c>
      <c r="I252" s="24">
        <f t="shared" si="43"/>
        <v>6786.01</v>
      </c>
      <c r="J252" s="24">
        <f t="shared" si="43"/>
        <v>0</v>
      </c>
      <c r="K252" s="167">
        <f t="shared" si="34"/>
        <v>6786.01</v>
      </c>
    </row>
    <row r="253" spans="1:11" ht="14.95" customHeight="1" x14ac:dyDescent="0.25">
      <c r="A253" s="89" t="s">
        <v>24</v>
      </c>
      <c r="B253" s="131"/>
      <c r="C253" s="58"/>
      <c r="D253" s="84"/>
      <c r="E253" s="84"/>
      <c r="F253" s="103"/>
      <c r="G253" s="8"/>
      <c r="H253" s="8"/>
      <c r="I253" s="8"/>
      <c r="J253" s="8"/>
      <c r="K253" s="59"/>
    </row>
    <row r="254" spans="1:11" ht="14.95" customHeight="1" x14ac:dyDescent="0.25">
      <c r="A254" s="90" t="s">
        <v>163</v>
      </c>
      <c r="B254" s="34"/>
      <c r="C254" s="57">
        <f>-16.58</f>
        <v>-16.579999999999998</v>
      </c>
      <c r="D254" s="85">
        <v>522.20000000000005</v>
      </c>
      <c r="E254" s="85">
        <f>-522.2</f>
        <v>-522.20000000000005</v>
      </c>
      <c r="F254" s="103">
        <f t="shared" ref="F254:F257" si="44">SUM(C254:E254)</f>
        <v>-16.579999999999984</v>
      </c>
      <c r="G254" s="8">
        <v>0</v>
      </c>
      <c r="H254" s="8">
        <f>-250+85</f>
        <v>-165</v>
      </c>
      <c r="I254" s="8">
        <v>1086.01</v>
      </c>
      <c r="J254" s="8">
        <v>0</v>
      </c>
      <c r="K254" s="59">
        <f t="shared" si="34"/>
        <v>1086.01</v>
      </c>
    </row>
    <row r="255" spans="1:11" ht="27.7" customHeight="1" x14ac:dyDescent="0.25">
      <c r="A255" s="9" t="s">
        <v>179</v>
      </c>
      <c r="B255" s="34" t="s">
        <v>110</v>
      </c>
      <c r="C255" s="57">
        <v>0</v>
      </c>
      <c r="D255" s="57">
        <v>0</v>
      </c>
      <c r="E255" s="57">
        <v>0</v>
      </c>
      <c r="F255" s="103">
        <f t="shared" si="44"/>
        <v>0</v>
      </c>
      <c r="G255" s="8">
        <v>0</v>
      </c>
      <c r="H255" s="8">
        <v>0</v>
      </c>
      <c r="I255" s="8">
        <v>700</v>
      </c>
      <c r="J255" s="8">
        <v>0</v>
      </c>
      <c r="K255" s="59">
        <f t="shared" si="34"/>
        <v>700</v>
      </c>
    </row>
    <row r="256" spans="1:11" ht="26.5" customHeight="1" x14ac:dyDescent="0.25">
      <c r="A256" s="9" t="s">
        <v>223</v>
      </c>
      <c r="B256" s="34" t="s">
        <v>116</v>
      </c>
      <c r="C256" s="57">
        <v>0</v>
      </c>
      <c r="D256" s="57">
        <v>6100</v>
      </c>
      <c r="E256" s="57">
        <v>0</v>
      </c>
      <c r="F256" s="103">
        <f t="shared" si="44"/>
        <v>6100</v>
      </c>
      <c r="G256" s="8">
        <v>0</v>
      </c>
      <c r="H256" s="8">
        <v>0</v>
      </c>
      <c r="I256" s="8">
        <v>5000</v>
      </c>
      <c r="J256" s="8">
        <v>0</v>
      </c>
      <c r="K256" s="59">
        <f t="shared" si="34"/>
        <v>5000</v>
      </c>
    </row>
    <row r="257" spans="1:11" ht="17.7" customHeight="1" thickBot="1" x14ac:dyDescent="0.3">
      <c r="A257" s="11" t="s">
        <v>180</v>
      </c>
      <c r="B257" s="51"/>
      <c r="C257" s="64">
        <v>0</v>
      </c>
      <c r="D257" s="64">
        <v>0</v>
      </c>
      <c r="E257" s="64">
        <v>0</v>
      </c>
      <c r="F257" s="114">
        <f t="shared" si="44"/>
        <v>0</v>
      </c>
      <c r="G257" s="12">
        <v>0</v>
      </c>
      <c r="H257" s="12">
        <v>0</v>
      </c>
      <c r="I257" s="12">
        <v>0</v>
      </c>
      <c r="J257" s="12">
        <v>0</v>
      </c>
      <c r="K257" s="73">
        <f t="shared" ref="K257:K297" si="45">SUM(I257:J257)</f>
        <v>0</v>
      </c>
    </row>
    <row r="258" spans="1:11" ht="15.65" customHeight="1" thickBot="1" x14ac:dyDescent="0.3">
      <c r="A258" s="37" t="s">
        <v>115</v>
      </c>
      <c r="B258" s="32"/>
      <c r="C258" s="24">
        <f t="shared" ref="C258:J258" si="46">SUM(C260:C261)</f>
        <v>0</v>
      </c>
      <c r="D258" s="24">
        <f t="shared" si="46"/>
        <v>0</v>
      </c>
      <c r="E258" s="24">
        <f t="shared" si="46"/>
        <v>0</v>
      </c>
      <c r="F258" s="113">
        <f t="shared" si="46"/>
        <v>0</v>
      </c>
      <c r="G258" s="24">
        <f t="shared" si="46"/>
        <v>0</v>
      </c>
      <c r="H258" s="24">
        <f t="shared" si="46"/>
        <v>0</v>
      </c>
      <c r="I258" s="24">
        <f t="shared" si="46"/>
        <v>1000</v>
      </c>
      <c r="J258" s="24">
        <f t="shared" si="46"/>
        <v>0</v>
      </c>
      <c r="K258" s="167">
        <f t="shared" si="45"/>
        <v>1000</v>
      </c>
    </row>
    <row r="259" spans="1:11" ht="14.95" customHeight="1" x14ac:dyDescent="0.25">
      <c r="A259" s="38" t="s">
        <v>24</v>
      </c>
      <c r="B259" s="131"/>
      <c r="C259" s="8"/>
      <c r="D259" s="8"/>
      <c r="E259" s="8"/>
      <c r="F259" s="103"/>
      <c r="G259" s="8"/>
      <c r="H259" s="8"/>
      <c r="I259" s="8"/>
      <c r="J259" s="8"/>
      <c r="K259" s="59"/>
    </row>
    <row r="260" spans="1:11" ht="14.95" customHeight="1" x14ac:dyDescent="0.25">
      <c r="A260" s="9" t="s">
        <v>181</v>
      </c>
      <c r="B260" s="34" t="s">
        <v>250</v>
      </c>
      <c r="C260" s="10">
        <v>0</v>
      </c>
      <c r="D260" s="10">
        <v>0</v>
      </c>
      <c r="E260" s="10">
        <v>0</v>
      </c>
      <c r="F260" s="103">
        <f>SUM(C260:E260)</f>
        <v>0</v>
      </c>
      <c r="G260" s="8">
        <v>0</v>
      </c>
      <c r="H260" s="8">
        <v>0</v>
      </c>
      <c r="I260" s="8">
        <v>1000</v>
      </c>
      <c r="J260" s="8">
        <v>0</v>
      </c>
      <c r="K260" s="59">
        <f t="shared" si="45"/>
        <v>1000</v>
      </c>
    </row>
    <row r="261" spans="1:11" ht="17.7" customHeight="1" thickBot="1" x14ac:dyDescent="0.3">
      <c r="A261" s="36" t="s">
        <v>182</v>
      </c>
      <c r="B261" s="51"/>
      <c r="C261" s="64">
        <v>0</v>
      </c>
      <c r="D261" s="64">
        <v>0</v>
      </c>
      <c r="E261" s="64">
        <v>0</v>
      </c>
      <c r="F261" s="114">
        <f>SUM(C261:E261)</f>
        <v>0</v>
      </c>
      <c r="G261" s="12">
        <v>0</v>
      </c>
      <c r="H261" s="12">
        <v>0</v>
      </c>
      <c r="I261" s="12">
        <v>0</v>
      </c>
      <c r="J261" s="12">
        <v>0</v>
      </c>
      <c r="K261" s="73">
        <f t="shared" si="45"/>
        <v>0</v>
      </c>
    </row>
    <row r="262" spans="1:11" ht="15.8" customHeight="1" thickBot="1" x14ac:dyDescent="0.3">
      <c r="A262" s="88" t="s">
        <v>139</v>
      </c>
      <c r="B262" s="32"/>
      <c r="C262" s="24">
        <f t="shared" ref="C262:H262" si="47">SUM(C264:C268)</f>
        <v>-4319</v>
      </c>
      <c r="D262" s="160">
        <f t="shared" si="47"/>
        <v>26830</v>
      </c>
      <c r="E262" s="160">
        <f t="shared" si="47"/>
        <v>410</v>
      </c>
      <c r="F262" s="113">
        <f t="shared" si="47"/>
        <v>22921</v>
      </c>
      <c r="G262" s="24">
        <f t="shared" si="47"/>
        <v>0</v>
      </c>
      <c r="H262" s="24">
        <f t="shared" si="47"/>
        <v>-102</v>
      </c>
      <c r="I262" s="24">
        <f>SUM(I264:I268)</f>
        <v>265329</v>
      </c>
      <c r="J262" s="24">
        <f>SUM(J264:J268)</f>
        <v>0</v>
      </c>
      <c r="K262" s="167">
        <f t="shared" si="45"/>
        <v>265329</v>
      </c>
    </row>
    <row r="263" spans="1:11" ht="12.9" customHeight="1" x14ac:dyDescent="0.25">
      <c r="A263" s="89" t="s">
        <v>274</v>
      </c>
      <c r="B263" s="131"/>
      <c r="C263" s="8"/>
      <c r="D263" s="86"/>
      <c r="E263" s="86"/>
      <c r="F263" s="103"/>
      <c r="G263" s="8"/>
      <c r="H263" s="8"/>
      <c r="I263" s="8"/>
      <c r="J263" s="8"/>
      <c r="K263" s="59"/>
    </row>
    <row r="264" spans="1:11" ht="17.149999999999999" customHeight="1" x14ac:dyDescent="0.25">
      <c r="A264" s="90" t="s">
        <v>163</v>
      </c>
      <c r="B264" s="34"/>
      <c r="C264" s="10">
        <f>16231+13488+23150</f>
        <v>52869</v>
      </c>
      <c r="D264" s="87">
        <v>13938</v>
      </c>
      <c r="E264" s="87">
        <f>10115+33200+9100+240</f>
        <v>52655</v>
      </c>
      <c r="F264" s="103">
        <f>SUM(C264:E264)+1735</f>
        <v>121197</v>
      </c>
      <c r="G264" s="8">
        <v>0</v>
      </c>
      <c r="H264" s="8">
        <f>7100+3810+2000+15601+1110-120+5089</f>
        <v>34590</v>
      </c>
      <c r="I264" s="8">
        <v>261329</v>
      </c>
      <c r="J264" s="8">
        <v>0</v>
      </c>
      <c r="K264" s="59">
        <f t="shared" si="45"/>
        <v>261329</v>
      </c>
    </row>
    <row r="265" spans="1:11" ht="14.95" customHeight="1" x14ac:dyDescent="0.25">
      <c r="A265" s="9" t="s">
        <v>183</v>
      </c>
      <c r="B265" s="34"/>
      <c r="C265" s="10">
        <v>0</v>
      </c>
      <c r="D265" s="87">
        <v>0</v>
      </c>
      <c r="E265" s="87">
        <v>0</v>
      </c>
      <c r="F265" s="103">
        <f>SUM(C265:E265)</f>
        <v>0</v>
      </c>
      <c r="G265" s="8">
        <v>0</v>
      </c>
      <c r="H265" s="8">
        <v>0</v>
      </c>
      <c r="I265" s="8">
        <v>1000</v>
      </c>
      <c r="J265" s="8">
        <v>0</v>
      </c>
      <c r="K265" s="59">
        <f t="shared" si="45"/>
        <v>1000</v>
      </c>
    </row>
    <row r="266" spans="1:11" ht="16.3" customHeight="1" x14ac:dyDescent="0.25">
      <c r="A266" s="35" t="s">
        <v>184</v>
      </c>
      <c r="B266" s="34"/>
      <c r="C266" s="10">
        <f>-16836-13552-650-26150</f>
        <v>-57188</v>
      </c>
      <c r="D266" s="10">
        <v>12892</v>
      </c>
      <c r="E266" s="10">
        <f>-9705-33200-9100-240</f>
        <v>-52245</v>
      </c>
      <c r="F266" s="103">
        <f>SUM(C266:E266)-1735</f>
        <v>-98276</v>
      </c>
      <c r="G266" s="8">
        <v>0</v>
      </c>
      <c r="H266" s="8">
        <f>-7100-4540-2000-15623-1110-4319</f>
        <v>-34692</v>
      </c>
      <c r="I266" s="8">
        <v>0</v>
      </c>
      <c r="J266" s="8">
        <v>0</v>
      </c>
      <c r="K266" s="59">
        <f t="shared" si="45"/>
        <v>0</v>
      </c>
    </row>
    <row r="267" spans="1:11" ht="28.2" customHeight="1" x14ac:dyDescent="0.25">
      <c r="A267" s="9" t="s">
        <v>178</v>
      </c>
      <c r="B267" s="34"/>
      <c r="C267" s="10">
        <v>0</v>
      </c>
      <c r="D267" s="10">
        <v>0</v>
      </c>
      <c r="E267" s="10">
        <v>0</v>
      </c>
      <c r="F267" s="103">
        <f>SUM(C267:E267)</f>
        <v>0</v>
      </c>
      <c r="G267" s="8">
        <v>0</v>
      </c>
      <c r="H267" s="8">
        <v>0</v>
      </c>
      <c r="I267" s="8">
        <v>3000</v>
      </c>
      <c r="J267" s="8">
        <v>0</v>
      </c>
      <c r="K267" s="59">
        <f t="shared" si="45"/>
        <v>3000</v>
      </c>
    </row>
    <row r="268" spans="1:11" ht="19.2" customHeight="1" thickBot="1" x14ac:dyDescent="0.3">
      <c r="A268" s="36" t="s">
        <v>185</v>
      </c>
      <c r="B268" s="51"/>
      <c r="C268" s="64">
        <v>0</v>
      </c>
      <c r="D268" s="64">
        <v>0</v>
      </c>
      <c r="E268" s="64">
        <v>0</v>
      </c>
      <c r="F268" s="114">
        <f>SUM(C268:E268)</f>
        <v>0</v>
      </c>
      <c r="G268" s="12">
        <v>0</v>
      </c>
      <c r="H268" s="12">
        <v>0</v>
      </c>
      <c r="I268" s="12">
        <v>0</v>
      </c>
      <c r="J268" s="12">
        <v>0</v>
      </c>
      <c r="K268" s="73">
        <f t="shared" si="45"/>
        <v>0</v>
      </c>
    </row>
    <row r="269" spans="1:11" ht="15.65" customHeight="1" thickBot="1" x14ac:dyDescent="0.3">
      <c r="A269" s="37" t="s">
        <v>141</v>
      </c>
      <c r="B269" s="32"/>
      <c r="C269" s="24">
        <f t="shared" ref="C269:H269" si="48">SUM(C272:C276)</f>
        <v>0</v>
      </c>
      <c r="D269" s="24">
        <f t="shared" si="48"/>
        <v>-352.99999999999989</v>
      </c>
      <c r="E269" s="24">
        <f t="shared" si="48"/>
        <v>0</v>
      </c>
      <c r="F269" s="113">
        <f t="shared" si="48"/>
        <v>-352.99999999999989</v>
      </c>
      <c r="G269" s="24">
        <f t="shared" si="48"/>
        <v>0</v>
      </c>
      <c r="H269" s="24">
        <f t="shared" si="48"/>
        <v>0</v>
      </c>
      <c r="I269" s="24">
        <f>SUM(I271:I276)</f>
        <v>1700</v>
      </c>
      <c r="J269" s="24">
        <f>SUM(J272:J276)</f>
        <v>0</v>
      </c>
      <c r="K269" s="167">
        <f t="shared" si="45"/>
        <v>1700</v>
      </c>
    </row>
    <row r="270" spans="1:11" ht="14.95" customHeight="1" x14ac:dyDescent="0.25">
      <c r="A270" s="38" t="s">
        <v>24</v>
      </c>
      <c r="B270" s="131"/>
      <c r="C270" s="8"/>
      <c r="D270" s="8"/>
      <c r="E270" s="8"/>
      <c r="F270" s="103"/>
      <c r="G270" s="8"/>
      <c r="H270" s="8"/>
      <c r="I270" s="8"/>
      <c r="J270" s="8"/>
      <c r="K270" s="59"/>
    </row>
    <row r="271" spans="1:11" ht="26.15" customHeight="1" x14ac:dyDescent="0.25">
      <c r="A271" s="9" t="s">
        <v>258</v>
      </c>
      <c r="B271" s="34" t="s">
        <v>144</v>
      </c>
      <c r="C271" s="10"/>
      <c r="D271" s="10"/>
      <c r="E271" s="10"/>
      <c r="F271" s="103"/>
      <c r="G271" s="8"/>
      <c r="H271" s="8"/>
      <c r="I271" s="8">
        <v>500</v>
      </c>
      <c r="J271" s="8">
        <v>0</v>
      </c>
      <c r="K271" s="59">
        <f t="shared" si="45"/>
        <v>500</v>
      </c>
    </row>
    <row r="272" spans="1:11" ht="17.7" customHeight="1" x14ac:dyDescent="0.25">
      <c r="A272" s="35" t="s">
        <v>187</v>
      </c>
      <c r="B272" s="34"/>
      <c r="C272" s="10">
        <v>0</v>
      </c>
      <c r="D272" s="10">
        <v>0</v>
      </c>
      <c r="E272" s="10">
        <v>0</v>
      </c>
      <c r="F272" s="103">
        <f>SUM(C272:E272)</f>
        <v>0</v>
      </c>
      <c r="G272" s="8">
        <v>0</v>
      </c>
      <c r="H272" s="8">
        <v>0</v>
      </c>
      <c r="I272" s="8">
        <v>1000</v>
      </c>
      <c r="J272" s="8">
        <v>0</v>
      </c>
      <c r="K272" s="59">
        <f t="shared" si="45"/>
        <v>1000</v>
      </c>
    </row>
    <row r="273" spans="1:11" ht="14.95" customHeight="1" x14ac:dyDescent="0.25">
      <c r="A273" s="35" t="s">
        <v>163</v>
      </c>
      <c r="B273" s="34"/>
      <c r="C273" s="10">
        <v>0</v>
      </c>
      <c r="D273" s="10">
        <v>60</v>
      </c>
      <c r="E273" s="10">
        <f>98.01</f>
        <v>98.01</v>
      </c>
      <c r="F273" s="103">
        <f>SUM(C273:E273)</f>
        <v>158.01</v>
      </c>
      <c r="G273" s="8">
        <v>0</v>
      </c>
      <c r="H273" s="8">
        <v>0</v>
      </c>
      <c r="I273" s="8">
        <v>0</v>
      </c>
      <c r="J273" s="8">
        <v>0</v>
      </c>
      <c r="K273" s="59">
        <f t="shared" si="45"/>
        <v>0</v>
      </c>
    </row>
    <row r="274" spans="1:11" ht="28.2" customHeight="1" x14ac:dyDescent="0.25">
      <c r="A274" s="9" t="s">
        <v>188</v>
      </c>
      <c r="B274" s="34"/>
      <c r="C274" s="10">
        <v>0</v>
      </c>
      <c r="D274" s="10">
        <v>-1221.0999999999999</v>
      </c>
      <c r="E274" s="10">
        <v>0</v>
      </c>
      <c r="F274" s="103">
        <f>SUM(C274:E274)</f>
        <v>-1221.0999999999999</v>
      </c>
      <c r="G274" s="8">
        <v>0</v>
      </c>
      <c r="H274" s="8">
        <v>0</v>
      </c>
      <c r="I274" s="8">
        <v>0</v>
      </c>
      <c r="J274" s="8">
        <v>0</v>
      </c>
      <c r="K274" s="59">
        <f t="shared" si="45"/>
        <v>0</v>
      </c>
    </row>
    <row r="275" spans="1:11" ht="15.65" customHeight="1" x14ac:dyDescent="0.25">
      <c r="A275" s="9" t="s">
        <v>259</v>
      </c>
      <c r="B275" s="34"/>
      <c r="C275" s="10"/>
      <c r="D275" s="10"/>
      <c r="E275" s="10"/>
      <c r="F275" s="103"/>
      <c r="G275" s="8"/>
      <c r="H275" s="8"/>
      <c r="I275" s="8">
        <v>200</v>
      </c>
      <c r="J275" s="8">
        <v>0</v>
      </c>
      <c r="K275" s="59">
        <f t="shared" si="45"/>
        <v>200</v>
      </c>
    </row>
    <row r="276" spans="1:11" ht="17.7" customHeight="1" thickBot="1" x14ac:dyDescent="0.3">
      <c r="A276" s="11" t="s">
        <v>189</v>
      </c>
      <c r="B276" s="51"/>
      <c r="C276" s="64">
        <v>0</v>
      </c>
      <c r="D276" s="64">
        <v>808.1</v>
      </c>
      <c r="E276" s="64">
        <f>-98.01</f>
        <v>-98.01</v>
      </c>
      <c r="F276" s="114">
        <f>SUM(C276:E276)</f>
        <v>710.09</v>
      </c>
      <c r="G276" s="12">
        <v>0</v>
      </c>
      <c r="H276" s="12">
        <v>0</v>
      </c>
      <c r="I276" s="12">
        <v>0</v>
      </c>
      <c r="J276" s="12">
        <v>0</v>
      </c>
      <c r="K276" s="73">
        <f t="shared" si="45"/>
        <v>0</v>
      </c>
    </row>
    <row r="277" spans="1:11" ht="15.65" customHeight="1" thickBot="1" x14ac:dyDescent="0.3">
      <c r="A277" s="37" t="s">
        <v>154</v>
      </c>
      <c r="B277" s="32"/>
      <c r="C277" s="24">
        <f t="shared" ref="C277:H277" si="49">SUM(C279)</f>
        <v>0</v>
      </c>
      <c r="D277" s="24">
        <f t="shared" si="49"/>
        <v>80</v>
      </c>
      <c r="E277" s="24">
        <f t="shared" si="49"/>
        <v>0</v>
      </c>
      <c r="F277" s="113">
        <f t="shared" si="49"/>
        <v>80</v>
      </c>
      <c r="G277" s="24">
        <f t="shared" si="49"/>
        <v>0</v>
      </c>
      <c r="H277" s="24">
        <f t="shared" si="49"/>
        <v>0</v>
      </c>
      <c r="I277" s="24">
        <f>SUM(I279)</f>
        <v>0</v>
      </c>
      <c r="J277" s="24">
        <f>SUM(J279)</f>
        <v>0</v>
      </c>
      <c r="K277" s="167">
        <f t="shared" si="45"/>
        <v>0</v>
      </c>
    </row>
    <row r="278" spans="1:11" ht="16.3" customHeight="1" x14ac:dyDescent="0.25">
      <c r="A278" s="38" t="s">
        <v>24</v>
      </c>
      <c r="B278" s="131"/>
      <c r="C278" s="8"/>
      <c r="D278" s="8"/>
      <c r="E278" s="8"/>
      <c r="F278" s="103"/>
      <c r="G278" s="8"/>
      <c r="H278" s="8"/>
      <c r="I278" s="8"/>
      <c r="J278" s="8"/>
      <c r="K278" s="59"/>
    </row>
    <row r="279" spans="1:11" ht="17.7" customHeight="1" thickBot="1" x14ac:dyDescent="0.3">
      <c r="A279" s="36" t="s">
        <v>163</v>
      </c>
      <c r="B279" s="51"/>
      <c r="C279" s="12">
        <v>0</v>
      </c>
      <c r="D279" s="12">
        <v>80</v>
      </c>
      <c r="E279" s="12">
        <v>0</v>
      </c>
      <c r="F279" s="114">
        <f>SUM(C279:E279)</f>
        <v>80</v>
      </c>
      <c r="G279" s="12">
        <v>0</v>
      </c>
      <c r="H279" s="12">
        <v>0</v>
      </c>
      <c r="I279" s="12">
        <v>0</v>
      </c>
      <c r="J279" s="12">
        <v>0</v>
      </c>
      <c r="K279" s="73">
        <f t="shared" si="45"/>
        <v>0</v>
      </c>
    </row>
    <row r="280" spans="1:11" ht="15.8" customHeight="1" thickBot="1" x14ac:dyDescent="0.3">
      <c r="A280" s="37" t="s">
        <v>156</v>
      </c>
      <c r="B280" s="32"/>
      <c r="C280" s="24">
        <f t="shared" ref="C280:H280" si="50">SUM(C282)</f>
        <v>312</v>
      </c>
      <c r="D280" s="24">
        <f t="shared" si="50"/>
        <v>9220</v>
      </c>
      <c r="E280" s="24">
        <f t="shared" si="50"/>
        <v>-2863.75</v>
      </c>
      <c r="F280" s="113">
        <f t="shared" si="50"/>
        <v>4023.25</v>
      </c>
      <c r="G280" s="24">
        <f t="shared" si="50"/>
        <v>0</v>
      </c>
      <c r="H280" s="24">
        <f t="shared" si="50"/>
        <v>-3604.5</v>
      </c>
      <c r="I280" s="24">
        <f>SUM(I282)</f>
        <v>1322</v>
      </c>
      <c r="J280" s="24">
        <f>SUM(J282)</f>
        <v>0</v>
      </c>
      <c r="K280" s="167">
        <f t="shared" si="45"/>
        <v>1322</v>
      </c>
    </row>
    <row r="281" spans="1:11" ht="16.3" customHeight="1" x14ac:dyDescent="0.25">
      <c r="A281" s="38" t="s">
        <v>24</v>
      </c>
      <c r="B281" s="131"/>
      <c r="C281" s="8"/>
      <c r="D281" s="8"/>
      <c r="E281" s="8"/>
      <c r="F281" s="103"/>
      <c r="G281" s="8"/>
      <c r="H281" s="8"/>
      <c r="I281" s="8"/>
      <c r="J281" s="8"/>
      <c r="K281" s="59"/>
    </row>
    <row r="282" spans="1:11" ht="18.350000000000001" customHeight="1" thickBot="1" x14ac:dyDescent="0.3">
      <c r="A282" s="36" t="s">
        <v>163</v>
      </c>
      <c r="B282" s="51"/>
      <c r="C282" s="12">
        <f>150+162</f>
        <v>312</v>
      </c>
      <c r="D282" s="12">
        <v>9220</v>
      </c>
      <c r="E282" s="12">
        <f>-413.82-710.13+231-1885.5-85.3</f>
        <v>-2863.75</v>
      </c>
      <c r="F282" s="171">
        <f>SUM(C282:E282)-2645</f>
        <v>4023.25</v>
      </c>
      <c r="G282" s="15">
        <v>0</v>
      </c>
      <c r="H282" s="15">
        <f>-3137.5-467</f>
        <v>-3604.5</v>
      </c>
      <c r="I282" s="15">
        <v>1322</v>
      </c>
      <c r="J282" s="15">
        <v>0</v>
      </c>
      <c r="K282" s="73">
        <f t="shared" si="45"/>
        <v>1322</v>
      </c>
    </row>
    <row r="283" spans="1:11" ht="15.65" customHeight="1" thickBot="1" x14ac:dyDescent="0.3">
      <c r="A283" s="42" t="s">
        <v>158</v>
      </c>
      <c r="B283" s="32"/>
      <c r="C283" s="24">
        <f t="shared" ref="C283:H283" si="51">SUM(C285:C286)</f>
        <v>0</v>
      </c>
      <c r="D283" s="24">
        <f t="shared" si="51"/>
        <v>11500</v>
      </c>
      <c r="E283" s="24">
        <f t="shared" si="51"/>
        <v>0</v>
      </c>
      <c r="F283" s="113">
        <f t="shared" si="51"/>
        <v>11500</v>
      </c>
      <c r="G283" s="24">
        <f t="shared" si="51"/>
        <v>0</v>
      </c>
      <c r="H283" s="24">
        <f t="shared" si="51"/>
        <v>200</v>
      </c>
      <c r="I283" s="24">
        <f>SUM(I285:I286)</f>
        <v>10450</v>
      </c>
      <c r="J283" s="24">
        <f>SUM(J285:J286)</f>
        <v>0</v>
      </c>
      <c r="K283" s="167">
        <f t="shared" si="45"/>
        <v>10450</v>
      </c>
    </row>
    <row r="284" spans="1:11" ht="13.75" customHeight="1" x14ac:dyDescent="0.25">
      <c r="A284" s="38" t="s">
        <v>24</v>
      </c>
      <c r="B284" s="131"/>
      <c r="C284" s="8"/>
      <c r="D284" s="8"/>
      <c r="E284" s="8"/>
      <c r="F284" s="103"/>
      <c r="G284" s="8"/>
      <c r="H284" s="8"/>
      <c r="I284" s="8"/>
      <c r="J284" s="8"/>
      <c r="K284" s="59"/>
    </row>
    <row r="285" spans="1:11" ht="18.350000000000001" customHeight="1" x14ac:dyDescent="0.25">
      <c r="A285" s="35" t="s">
        <v>163</v>
      </c>
      <c r="B285" s="34"/>
      <c r="C285" s="10">
        <v>0</v>
      </c>
      <c r="D285" s="10">
        <v>11500</v>
      </c>
      <c r="E285" s="10">
        <v>0</v>
      </c>
      <c r="F285" s="103">
        <f>SUM(C285:E285)</f>
        <v>11500</v>
      </c>
      <c r="G285" s="8">
        <v>0</v>
      </c>
      <c r="H285" s="8">
        <f>200</f>
        <v>200</v>
      </c>
      <c r="I285" s="8">
        <v>10050</v>
      </c>
      <c r="J285" s="8">
        <v>0</v>
      </c>
      <c r="K285" s="59">
        <f t="shared" si="45"/>
        <v>10050</v>
      </c>
    </row>
    <row r="286" spans="1:11" ht="39.75" customHeight="1" thickBot="1" x14ac:dyDescent="0.3">
      <c r="A286" s="52" t="s">
        <v>268</v>
      </c>
      <c r="B286" s="138" t="s">
        <v>250</v>
      </c>
      <c r="C286" s="12">
        <v>0</v>
      </c>
      <c r="D286" s="12">
        <v>0</v>
      </c>
      <c r="E286" s="12">
        <v>0</v>
      </c>
      <c r="F286" s="171">
        <f>SUM(C286:E286)</f>
        <v>0</v>
      </c>
      <c r="G286" s="15">
        <v>0</v>
      </c>
      <c r="H286" s="15">
        <v>0</v>
      </c>
      <c r="I286" s="15">
        <v>400</v>
      </c>
      <c r="J286" s="15">
        <v>0</v>
      </c>
      <c r="K286" s="73">
        <f t="shared" si="45"/>
        <v>400</v>
      </c>
    </row>
    <row r="287" spans="1:11" ht="17.5" customHeight="1" thickBot="1" x14ac:dyDescent="0.3">
      <c r="A287" s="43" t="s">
        <v>190</v>
      </c>
      <c r="B287" s="44"/>
      <c r="C287" s="45">
        <f>SUM(C217+C220+C225+C236+C240+C244+C248+C252+C258+C262+C269+C277+C280+C283)</f>
        <v>2749.63</v>
      </c>
      <c r="D287" s="45">
        <f>SUM(D217+D220+D225+D236+D240+D244+D248+D252+D258+D262+D269+D277+D280+D283)</f>
        <v>165621.31</v>
      </c>
      <c r="E287" s="45">
        <f>SUM(E217+E220+E225+E236+E240+E244+E248+E252+E258+E262+E269+E277+E280+E283)</f>
        <v>-7693.55</v>
      </c>
      <c r="F287" s="115">
        <f>SUM(F217+F220+F225+F236+F240+F244+F248+F252+F258+F262+F269+F277+F280+F283)</f>
        <v>159284.99</v>
      </c>
      <c r="G287" s="45">
        <f>G217+G220+G225+G236+G240+G244+G248+G252+G258+G262+G269+G277+G280+G283</f>
        <v>21425</v>
      </c>
      <c r="H287" s="45">
        <f>SUM(H217+H220+H225+H236+H240+H244+H248+H252+H258+H262+H269+H277+H280+H283)</f>
        <v>-15260.55</v>
      </c>
      <c r="I287" s="45">
        <f>I217+I220+I225+I236+I240+I244+I248+I252+I258+I262+I269+I277+I280+I283</f>
        <v>492824.36</v>
      </c>
      <c r="J287" s="45">
        <f>SUM(J217+J220+J225+J236+J240+J244+J248+J252+J258+J262+J269+J277+J280+J283)</f>
        <v>10787.72</v>
      </c>
      <c r="K287" s="174">
        <f t="shared" si="45"/>
        <v>503612.07999999996</v>
      </c>
    </row>
    <row r="288" spans="1:11" ht="18" customHeight="1" thickBot="1" x14ac:dyDescent="0.3">
      <c r="A288" s="77" t="s">
        <v>191</v>
      </c>
      <c r="B288" s="78"/>
      <c r="C288" s="45">
        <f>SUM(C214+C287)</f>
        <v>1838.1900000000005</v>
      </c>
      <c r="D288" s="45">
        <f>SUM(D214+D287)</f>
        <v>230796.76</v>
      </c>
      <c r="E288" s="45">
        <f>SUM(E214+E287)</f>
        <v>2326.7799999999979</v>
      </c>
      <c r="F288" s="115">
        <f>SUM(F214+F287)</f>
        <v>235161.68</v>
      </c>
      <c r="G288" s="45">
        <f>G214+G287</f>
        <v>35370.35</v>
      </c>
      <c r="H288" s="45">
        <f>SUM(H214+H287)</f>
        <v>2328.0200000000004</v>
      </c>
      <c r="I288" s="45">
        <f>I214+I287</f>
        <v>2429680.37</v>
      </c>
      <c r="J288" s="45">
        <f>J214+J287</f>
        <v>0</v>
      </c>
      <c r="K288" s="174">
        <f t="shared" si="45"/>
        <v>2429680.37</v>
      </c>
    </row>
    <row r="289" spans="1:11" ht="14.95" customHeight="1" thickBot="1" x14ac:dyDescent="0.3">
      <c r="A289" s="93"/>
      <c r="B289" s="94"/>
      <c r="C289" s="15"/>
      <c r="D289" s="15"/>
      <c r="E289" s="15"/>
      <c r="F289" s="171"/>
      <c r="G289" s="15"/>
      <c r="H289" s="15"/>
      <c r="I289" s="15"/>
      <c r="J289" s="15"/>
      <c r="K289" s="73"/>
    </row>
    <row r="290" spans="1:11" ht="14.95" customHeight="1" thickBot="1" x14ac:dyDescent="0.3">
      <c r="A290" s="16" t="s">
        <v>192</v>
      </c>
      <c r="B290" s="46"/>
      <c r="C290" s="17"/>
      <c r="D290" s="17"/>
      <c r="E290" s="17"/>
      <c r="F290" s="108"/>
      <c r="G290" s="17"/>
      <c r="H290" s="17"/>
      <c r="I290" s="17"/>
      <c r="J290" s="17"/>
      <c r="K290" s="99"/>
    </row>
    <row r="291" spans="1:11" ht="14.95" customHeight="1" x14ac:dyDescent="0.25">
      <c r="A291" s="7" t="s">
        <v>193</v>
      </c>
      <c r="B291" s="29"/>
      <c r="C291" s="8">
        <v>0</v>
      </c>
      <c r="D291" s="8">
        <v>1014.79</v>
      </c>
      <c r="E291" s="8">
        <v>0</v>
      </c>
      <c r="F291" s="103">
        <f t="shared" ref="F291:F297" si="52">SUM(C291:E291)</f>
        <v>1014.79</v>
      </c>
      <c r="G291" s="8">
        <v>0</v>
      </c>
      <c r="H291" s="8">
        <v>0</v>
      </c>
      <c r="I291" s="8">
        <v>15400</v>
      </c>
      <c r="J291" s="8">
        <v>0</v>
      </c>
      <c r="K291" s="59">
        <f t="shared" si="45"/>
        <v>15400</v>
      </c>
    </row>
    <row r="292" spans="1:11" ht="14.95" customHeight="1" x14ac:dyDescent="0.25">
      <c r="A292" s="9" t="s">
        <v>194</v>
      </c>
      <c r="B292" s="31"/>
      <c r="C292" s="57">
        <v>0</v>
      </c>
      <c r="D292" s="57">
        <v>0</v>
      </c>
      <c r="E292" s="58">
        <v>0</v>
      </c>
      <c r="F292" s="103">
        <f t="shared" si="52"/>
        <v>0</v>
      </c>
      <c r="G292" s="8">
        <v>0</v>
      </c>
      <c r="H292" s="8">
        <v>0</v>
      </c>
      <c r="I292" s="8">
        <v>0</v>
      </c>
      <c r="J292" s="8">
        <v>0</v>
      </c>
      <c r="K292" s="59">
        <f t="shared" si="45"/>
        <v>0</v>
      </c>
    </row>
    <row r="293" spans="1:11" ht="14.95" customHeight="1" x14ac:dyDescent="0.25">
      <c r="A293" s="9" t="s">
        <v>195</v>
      </c>
      <c r="B293" s="31"/>
      <c r="C293" s="57">
        <v>0</v>
      </c>
      <c r="D293" s="57">
        <v>0</v>
      </c>
      <c r="E293" s="58">
        <v>0</v>
      </c>
      <c r="F293" s="103">
        <f t="shared" si="52"/>
        <v>0</v>
      </c>
      <c r="G293" s="8">
        <v>0</v>
      </c>
      <c r="H293" s="8">
        <v>0</v>
      </c>
      <c r="I293" s="8">
        <v>0</v>
      </c>
      <c r="J293" s="8">
        <v>0</v>
      </c>
      <c r="K293" s="59">
        <f t="shared" si="45"/>
        <v>0</v>
      </c>
    </row>
    <row r="294" spans="1:11" ht="14.95" customHeight="1" x14ac:dyDescent="0.25">
      <c r="A294" s="9" t="s">
        <v>196</v>
      </c>
      <c r="B294" s="31"/>
      <c r="C294" s="57">
        <v>0</v>
      </c>
      <c r="D294" s="57">
        <v>0</v>
      </c>
      <c r="E294" s="58">
        <v>0</v>
      </c>
      <c r="F294" s="103">
        <f t="shared" si="52"/>
        <v>0</v>
      </c>
      <c r="G294" s="8">
        <v>0</v>
      </c>
      <c r="H294" s="8">
        <v>0</v>
      </c>
      <c r="I294" s="8">
        <v>5451</v>
      </c>
      <c r="J294" s="8">
        <v>0</v>
      </c>
      <c r="K294" s="59">
        <f t="shared" si="45"/>
        <v>5451</v>
      </c>
    </row>
    <row r="295" spans="1:11" ht="14.95" customHeight="1" x14ac:dyDescent="0.25">
      <c r="A295" s="9" t="s">
        <v>197</v>
      </c>
      <c r="B295" s="31"/>
      <c r="C295" s="57">
        <v>0</v>
      </c>
      <c r="D295" s="57">
        <v>0</v>
      </c>
      <c r="E295" s="58">
        <v>0</v>
      </c>
      <c r="F295" s="103">
        <f t="shared" si="52"/>
        <v>0</v>
      </c>
      <c r="G295" s="8">
        <v>0</v>
      </c>
      <c r="H295" s="8">
        <v>0</v>
      </c>
      <c r="I295" s="8">
        <v>0</v>
      </c>
      <c r="J295" s="8">
        <v>0</v>
      </c>
      <c r="K295" s="59">
        <f t="shared" si="45"/>
        <v>0</v>
      </c>
    </row>
    <row r="296" spans="1:11" ht="14.95" customHeight="1" x14ac:dyDescent="0.25">
      <c r="A296" s="9" t="s">
        <v>198</v>
      </c>
      <c r="B296" s="31"/>
      <c r="C296" s="57">
        <v>0</v>
      </c>
      <c r="D296" s="57">
        <v>0</v>
      </c>
      <c r="E296" s="58">
        <v>0</v>
      </c>
      <c r="F296" s="103">
        <f t="shared" si="52"/>
        <v>0</v>
      </c>
      <c r="G296" s="8">
        <v>0</v>
      </c>
      <c r="H296" s="8">
        <v>0</v>
      </c>
      <c r="I296" s="8">
        <v>0</v>
      </c>
      <c r="J296" s="8">
        <v>0</v>
      </c>
      <c r="K296" s="59">
        <f t="shared" si="45"/>
        <v>0</v>
      </c>
    </row>
    <row r="297" spans="1:11" ht="14.95" customHeight="1" thickBot="1" x14ac:dyDescent="0.3">
      <c r="A297" s="161" t="s">
        <v>199</v>
      </c>
      <c r="B297" s="27"/>
      <c r="C297" s="162">
        <v>0</v>
      </c>
      <c r="D297" s="162">
        <v>0.1</v>
      </c>
      <c r="E297" s="162">
        <v>0</v>
      </c>
      <c r="F297" s="114">
        <f t="shared" si="52"/>
        <v>0.1</v>
      </c>
      <c r="G297" s="12">
        <v>0</v>
      </c>
      <c r="H297" s="12">
        <v>0</v>
      </c>
      <c r="I297" s="12">
        <v>73897.100000000006</v>
      </c>
      <c r="J297" s="12">
        <v>0</v>
      </c>
      <c r="K297" s="59">
        <f t="shared" si="45"/>
        <v>73897.100000000006</v>
      </c>
    </row>
    <row r="298" spans="1:11" ht="17.5" customHeight="1" thickBot="1" x14ac:dyDescent="0.3">
      <c r="A298" s="16" t="s">
        <v>200</v>
      </c>
      <c r="B298" s="47"/>
      <c r="C298" s="75">
        <f t="shared" ref="C298:H298" si="53">SUM(C291:C297)</f>
        <v>0</v>
      </c>
      <c r="D298" s="75">
        <f t="shared" si="53"/>
        <v>1014.89</v>
      </c>
      <c r="E298" s="75">
        <f t="shared" si="53"/>
        <v>0</v>
      </c>
      <c r="F298" s="109">
        <f t="shared" si="53"/>
        <v>1014.89</v>
      </c>
      <c r="G298" s="62">
        <f t="shared" si="53"/>
        <v>0</v>
      </c>
      <c r="H298" s="62">
        <f t="shared" si="53"/>
        <v>0</v>
      </c>
      <c r="I298" s="62">
        <f>SUM(I291:I297)</f>
        <v>94748.1</v>
      </c>
      <c r="J298" s="62">
        <f>SUM(J291:J297)</f>
        <v>0</v>
      </c>
      <c r="K298" s="163">
        <f>SUM(I298:J298)</f>
        <v>94748.1</v>
      </c>
    </row>
    <row r="299" spans="1:11" ht="16.5" customHeight="1" thickBot="1" x14ac:dyDescent="0.3">
      <c r="A299" s="20" t="s">
        <v>201</v>
      </c>
      <c r="B299" s="48"/>
      <c r="C299" s="76">
        <f>SUM(C288+C298)</f>
        <v>1838.1900000000005</v>
      </c>
      <c r="D299" s="76">
        <f>D288+D298</f>
        <v>231811.65000000002</v>
      </c>
      <c r="E299" s="76">
        <f>SUM(E288+E298)</f>
        <v>2326.7799999999979</v>
      </c>
      <c r="F299" s="110">
        <f>SUM(F288+F298)</f>
        <v>236176.57</v>
      </c>
      <c r="G299" s="63">
        <f>G288+G298</f>
        <v>35370.35</v>
      </c>
      <c r="H299" s="63">
        <f>SUM(H288+H298)</f>
        <v>2328.0200000000004</v>
      </c>
      <c r="I299" s="63">
        <f>I288+I298</f>
        <v>2524428.4700000002</v>
      </c>
      <c r="J299" s="63">
        <f>J288+J298</f>
        <v>0</v>
      </c>
      <c r="K299" s="177">
        <f>SUM(I299:J299)</f>
        <v>2524428.4700000002</v>
      </c>
    </row>
    <row r="300" spans="1:11" ht="14.95" customHeight="1" thickBot="1" x14ac:dyDescent="0.3">
      <c r="A300" s="150"/>
      <c r="B300" s="151"/>
      <c r="C300" s="152"/>
      <c r="D300" s="152"/>
      <c r="E300" s="152"/>
      <c r="F300" s="148"/>
      <c r="G300" s="147"/>
      <c r="H300" s="147"/>
      <c r="I300" s="147"/>
      <c r="J300" s="147"/>
      <c r="K300" s="149"/>
    </row>
    <row r="301" spans="1:11" ht="29.25" customHeight="1" thickBot="1" x14ac:dyDescent="0.3">
      <c r="A301" s="16" t="s">
        <v>262</v>
      </c>
      <c r="B301" s="46"/>
      <c r="C301" s="74"/>
      <c r="D301" s="74"/>
      <c r="E301" s="74"/>
      <c r="F301" s="108"/>
      <c r="G301" s="17"/>
      <c r="H301" s="17"/>
      <c r="I301" s="17"/>
      <c r="J301" s="17"/>
      <c r="K301" s="99"/>
    </row>
    <row r="302" spans="1:11" ht="17.149999999999999" customHeight="1" thickBot="1" x14ac:dyDescent="0.3">
      <c r="A302" s="14" t="s">
        <v>202</v>
      </c>
      <c r="B302" s="50"/>
      <c r="C302" s="95">
        <v>0</v>
      </c>
      <c r="D302" s="95">
        <v>0</v>
      </c>
      <c r="E302" s="95">
        <v>0</v>
      </c>
      <c r="F302" s="171">
        <f>SUM(C302:E302)</f>
        <v>0</v>
      </c>
      <c r="G302" s="15">
        <v>0</v>
      </c>
      <c r="H302" s="15">
        <v>0</v>
      </c>
      <c r="I302" s="15">
        <f>SUM(G302:H302)</f>
        <v>0</v>
      </c>
      <c r="J302" s="15">
        <f t="shared" ref="J302:J303" si="54">SUM(H302:I302)</f>
        <v>0</v>
      </c>
      <c r="K302" s="145" t="s">
        <v>243</v>
      </c>
    </row>
    <row r="303" spans="1:11" ht="29.25" thickBot="1" x14ac:dyDescent="0.3">
      <c r="A303" s="16" t="s">
        <v>270</v>
      </c>
      <c r="B303" s="47"/>
      <c r="C303" s="75">
        <v>0</v>
      </c>
      <c r="D303" s="75">
        <f>SUM(D302)</f>
        <v>0</v>
      </c>
      <c r="E303" s="75">
        <v>0</v>
      </c>
      <c r="F303" s="109">
        <f>SUM(C303:E303)</f>
        <v>0</v>
      </c>
      <c r="G303" s="62">
        <f>SUM(G302)</f>
        <v>0</v>
      </c>
      <c r="H303" s="62">
        <v>0</v>
      </c>
      <c r="I303" s="62">
        <f>SUM(G303:H303)</f>
        <v>0</v>
      </c>
      <c r="J303" s="62">
        <f t="shared" si="54"/>
        <v>0</v>
      </c>
      <c r="K303" s="146" t="s">
        <v>243</v>
      </c>
    </row>
    <row r="304" spans="1:11" ht="5.3" customHeight="1" x14ac:dyDescent="0.25"/>
    <row r="305" spans="1:2" ht="11.25" customHeight="1" x14ac:dyDescent="0.25">
      <c r="A305" s="49"/>
      <c r="B305" s="123"/>
    </row>
    <row r="306" spans="1:2" hidden="1" x14ac:dyDescent="0.25">
      <c r="A306" s="49"/>
      <c r="B306" s="123"/>
    </row>
  </sheetData>
  <sheetProtection algorithmName="SHA-512" hashValue="jpBh6APyUZ6UQW8WBSPXn4Een+nL1w26p5f+YyIWhULUNvtFfQQpDpXFRxhsa9ZqB/7OZOfAr3+xrSqmWxxXNQ==" saltValue="09b62Npm5rTu85hNkbdrtQ==" spinCount="100000" sheet="1" objects="1" scenarios="1"/>
  <pageMargins left="0.6692913385826772" right="0.6692913385826772" top="0.9055118110236221" bottom="0.78740157480314965" header="0.31496062992125984" footer="0.31496062992125984"/>
  <pageSetup paperSize="9" orientation="landscape" r:id="rId1"/>
  <headerFooter>
    <oddHeader xml:space="preserve">&amp;L&amp;"-,Tučné"Statutární město
Frýdek-Místek&amp;C&amp;"-,Tučné"Závazné ukazatele upraveného rozpočtu pro rok 2026 po RO RM č. 1 - 2
&amp;"-,Obyčejné"Zpracovala: Ing. Radmila Kačmaříková, FO
&amp;RStrana &amp;P
celkem 14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ZU rozp.r.2026 a RO RM 1-2</vt:lpstr>
      <vt:lpstr>'ZU rozp.r.2026 a RO RM 1-2'!Názvy_tisku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Ilona OBORNÁ</dc:creator>
  <cp:lastModifiedBy>Ilona Oborná</cp:lastModifiedBy>
  <cp:lastPrinted>2026-01-14T08:59:43Z</cp:lastPrinted>
  <dcterms:created xsi:type="dcterms:W3CDTF">2024-01-31T13:47:41Z</dcterms:created>
  <dcterms:modified xsi:type="dcterms:W3CDTF">2026-01-14T09:33:31Z</dcterms:modified>
</cp:coreProperties>
</file>